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h\Documents\SIP Certified\"/>
    </mc:Choice>
  </mc:AlternateContent>
  <xr:revisionPtr revIDLastSave="0" documentId="8_{16C1AEF3-04FE-4F8A-AF80-EF4CB0318F08}" xr6:coauthVersionLast="36" xr6:coauthVersionMax="36" xr10:uidLastSave="{00000000-0000-0000-0000-000000000000}"/>
  <bookViews>
    <workbookView xWindow="0" yWindow="0" windowWidth="28800" windowHeight="12225" tabRatio="653" firstSheet="3" activeTab="3" xr2:uid="{00000000-000D-0000-FFFF-FFFF00000000}"/>
  </bookViews>
  <sheets>
    <sheet name="What you need" sheetId="11" r:id="rId1"/>
    <sheet name="Instructions" sheetId="2" r:id="rId2"/>
    <sheet name="General Parameters (14.1)" sheetId="1" r:id="rId3"/>
    <sheet name="Irrigation (14.2.1)" sheetId="9" r:id="rId4"/>
    <sheet name="Frost Water (14.2.2)" sheetId="10" r:id="rId5"/>
    <sheet name="Water Use Report (14.2)" sheetId="5" r:id="rId6"/>
    <sheet name="Compost (14.3.2)" sheetId="8" r:id="rId7"/>
    <sheet name="Nitrogen Use Report (14.3)" sheetId="6" r:id="rId8"/>
    <sheet name="Resources" sheetId="3" r:id="rId9"/>
    <sheet name="Sheet1" sheetId="12" r:id="rId10"/>
  </sheets>
  <definedNames>
    <definedName name="_xlnm.Print_Area" localSheetId="7">'Nitrogen Use Report (14.3)'!$B$1:$J$96</definedName>
  </definedNames>
  <calcPr calcId="191029"/>
</workbook>
</file>

<file path=xl/calcChain.xml><?xml version="1.0" encoding="utf-8"?>
<calcChain xmlns="http://schemas.openxmlformats.org/spreadsheetml/2006/main">
  <c r="I45" i="6" l="1"/>
  <c r="I25" i="6"/>
  <c r="I12" i="10" l="1"/>
  <c r="F13" i="5" l="1"/>
  <c r="I25" i="9"/>
  <c r="I11" i="9" s="1"/>
  <c r="I40" i="9" l="1"/>
  <c r="I53" i="9"/>
  <c r="I62" i="9"/>
  <c r="D16" i="8"/>
  <c r="F35" i="8" s="1"/>
  <c r="F39" i="8" s="1"/>
  <c r="C16" i="8"/>
  <c r="F23" i="8" s="1"/>
  <c r="F27" i="8" s="1"/>
  <c r="F8" i="5" l="1"/>
  <c r="I28" i="8"/>
  <c r="I30" i="8" s="1"/>
  <c r="I61" i="6" s="1"/>
  <c r="I76" i="6"/>
  <c r="I78" i="6" l="1"/>
  <c r="H8" i="5"/>
  <c r="I87" i="6" l="1"/>
  <c r="I89" i="6" s="1"/>
  <c r="K84" i="6" s="1"/>
  <c r="F16" i="1"/>
  <c r="I18" i="1" s="1"/>
  <c r="K73" i="6"/>
  <c r="I35" i="6"/>
  <c r="I17" i="6"/>
  <c r="F19" i="5"/>
  <c r="F26" i="5" s="1"/>
  <c r="K36" i="6" l="1"/>
  <c r="I49" i="6"/>
  <c r="K80" i="6"/>
  <c r="I10" i="1"/>
</calcChain>
</file>

<file path=xl/sharedStrings.xml><?xml version="1.0" encoding="utf-8"?>
<sst xmlns="http://schemas.openxmlformats.org/spreadsheetml/2006/main" count="259" uniqueCount="189">
  <si>
    <t>SIP Standards 2018 | Vineyard Properties</t>
  </si>
  <si>
    <t>14.1 General Parameters</t>
  </si>
  <si>
    <t>D — Req'd for Documentation renewals</t>
  </si>
  <si>
    <t>14.2 Water Use Report</t>
  </si>
  <si>
    <t>1.    Applied Irrigation Water</t>
  </si>
  <si>
    <t>2.    Applied Frost Water</t>
  </si>
  <si>
    <t>3.    Rainfall</t>
  </si>
  <si>
    <t>14.3 Nitrogen Use Report</t>
  </si>
  <si>
    <t>(Lbs N/ac) Explain</t>
  </si>
  <si>
    <t>© 2008-2017 Vineyard Team                                                                                                                                                                                        49 of 51</t>
  </si>
  <si>
    <t>2.    Compost</t>
  </si>
  <si>
    <t>Presumptions (if not provided by your producer or lab): Two methods are presented below for converting compost applications per acre to lbs N per acre. The presumption for %N availability is based on an industry standard of 30% (0.30) availability of total N content of compost, and an average weight of 900 lbs per cubic yard of compost.</t>
  </si>
  <si>
    <t>Example for  Tons/Acre Compost Applied: Wet (as is) compost with 1.7% N content, applied at a rate of 5 tons per acre.</t>
  </si>
  <si>
    <t>Step 1: Convert %N content to lbs N per ton of compost.</t>
  </si>
  <si>
    <t>1.7 lbs N   x       2000 lbs        =        34 lbs N</t>
  </si>
  <si>
    <t>100 lbs        ton of compost        ton of compost</t>
  </si>
  <si>
    <t>Step 2: Convert lbs N per ton of compost to lbs available N per ton of compost.</t>
  </si>
  <si>
    <t xml:space="preserve">    34 lbs N      x   0.30 lbs available  =   10.2 lbs available ton of compost             1 lb total N                 ton of compost</t>
  </si>
  <si>
    <t>Step 3: Multiply lbs of available N per ton by total tons applied per acre.</t>
  </si>
  <si>
    <t>10.2 lbs available N   x   5 tons compost   =    51 lbs N</t>
  </si>
  <si>
    <t>ton of compost                     ac                          ac</t>
  </si>
  <si>
    <t>Example for  Cubic Yards (CY)/Acre Compost Applied: Wet (as is) compost with 1.7% N content, applied at a rate of 5 cubic yards per acre.</t>
  </si>
  <si>
    <t>Step 1: Convert %N content to lbs N per cubic yard of compost.</t>
  </si>
  <si>
    <t>1.7 lbs N         x         900 lbs         =      15.3 lbs N</t>
  </si>
  <si>
    <t>100 lbs compost        cy of compost          cy of compost</t>
  </si>
  <si>
    <t>Step 2: Convert lbs N per cubic yard of compost to lbs available N</t>
  </si>
  <si>
    <t>per cubic yard of compost.</t>
  </si>
  <si>
    <t xml:space="preserve"> 15.3 lbs N    x   0.30 lbs available N   =   4.6 lbs available N</t>
  </si>
  <si>
    <t>cy of compost            1 lb total N                   cy of compost</t>
  </si>
  <si>
    <t>Step 3: Multiply lbs of available N per cubic yard by total cubic yards applied per acre.</t>
  </si>
  <si>
    <t>4.6 lbs available N   x   5 cy of compost  =   23 lbs N</t>
  </si>
  <si>
    <t>cy of compost                   ac                           ac</t>
  </si>
  <si>
    <t>© 2008-2017 Vineyard Team                                                                                                                                                                                        50 of 51</t>
  </si>
  <si>
    <t>3.    Water</t>
  </si>
  <si>
    <t>Presumptions: Two methods are presented below for converting irrigation water applications per acre to lbs N per acre. Nitrogen content of water is most commonly reported in ppm NO3 or ppm NO3-N. NO3 is converted to lbs N/acre foot of water by multiplying by 0.62. NO3-N is converted to lbs N/acre foot of water by multiplying by 2.74. A detailed description of these conversion factors can be viewed online ().</t>
  </si>
  <si>
    <t>Example for lab report of ppm NO3: Report from lab shows</t>
  </si>
  <si>
    <t>45ppm NO3 and a total of 0.89 acre feet (ac-ft) of irrigation water was applied.</t>
  </si>
  <si>
    <t>Step1: Convert ppm NO3 to lbs N/acre foot of irrigation water applied.</t>
  </si>
  <si>
    <t>45 ppm NO3 x 0.62 = 27.9 lbs N/ac-ft</t>
  </si>
  <si>
    <t>Step 2: Multiply lbs N/ac-ft by total irrigation water applied per acre.</t>
  </si>
  <si>
    <t>27.9 lbs N   x   0.89 ac-ft irrigation water   =   24.8 lbs N</t>
  </si>
  <si>
    <t>ac-ft                             ac                                   ac</t>
  </si>
  <si>
    <t>Example for lab report of ppm NO3-N: Report from lab shows</t>
  </si>
  <si>
    <t>45ppm NO3-N and a total of 0.89 acre feet (ac-ft) of irrigation water was applied.</t>
  </si>
  <si>
    <t>Step1: Convert ppm NO3-N to lbs N/acre foot of irrigation water applied.</t>
  </si>
  <si>
    <t>45 ppm NO3 x 2.74 = 123.3 lbs N/ ac-ft</t>
  </si>
  <si>
    <t>Step 2: Multiply lbs N/ ac-ft by total irrigation water applied per acre.</t>
  </si>
  <si>
    <t>123.3 lbs N   x   0.89 ac-ft irrigation water  ac   =   109.7 lbs ac-ft                                  ac                                    ac</t>
  </si>
  <si>
    <t>*Eﬃciency of fertilization and of irrigation are not factored into the above equations.</t>
  </si>
  <si>
    <t>© 2008-2017 Vineyard Team                                                                                                                                                                                        51 of 51</t>
  </si>
  <si>
    <t>1.    Total Area In Acres</t>
  </si>
  <si>
    <t>2.    Total Yield In Tons</t>
  </si>
  <si>
    <t>Hours</t>
  </si>
  <si>
    <t>gals/hr</t>
  </si>
  <si>
    <t>Row spacing</t>
  </si>
  <si>
    <t>ft</t>
  </si>
  <si>
    <t>Vine spacing</t>
  </si>
  <si>
    <t>Gallons</t>
  </si>
  <si>
    <t>Acres</t>
  </si>
  <si>
    <t>Tons</t>
  </si>
  <si>
    <t>ac-ft/ac</t>
  </si>
  <si>
    <t>inches</t>
  </si>
  <si>
    <t>Enter the amount of rain your vineyard received from December 1 last year to November 30 of this year in the yellow box.</t>
  </si>
  <si>
    <t>Inches of rainfall is converted into acre-feet automatically (pink box).</t>
  </si>
  <si>
    <t>The percentage of Nitrogen in the fertilizer</t>
  </si>
  <si>
    <t>The weight per gallon of the fertilizer</t>
  </si>
  <si>
    <t>Pounds of Nitrogen applied per acre (solid)</t>
  </si>
  <si>
    <t>Pounds of Nitrogen applied per acre (liquid)</t>
  </si>
  <si>
    <t>1. Fertilizers</t>
  </si>
  <si>
    <t>Gallons of fertilizer applied per acre</t>
  </si>
  <si>
    <t>2. Compost</t>
  </si>
  <si>
    <t>There are different ways of calculating the amount of Nitrogen applied per acre from compost.</t>
  </si>
  <si>
    <t>The amount of compost applied may be measure by weight (tons) or volume (cubic yards).</t>
  </si>
  <si>
    <t>Not all of the Nitrogen in compost is available the year it is applied. The industry standard assumes 30% of the total Nitrogen content of the compost is available to the plants the year it is applied.</t>
  </si>
  <si>
    <t>Pounds of Nitrogen applied as fertilizer (solid + liquid)</t>
  </si>
  <si>
    <t>3. Water</t>
  </si>
  <si>
    <t>Two methods are presented below for converting irrigation water applications per acre to lbs N per acre.</t>
  </si>
  <si>
    <t xml:space="preserve">NO3-N is converted to lbs N/acre foot of water by multiplying by 2.74. </t>
  </si>
  <si>
    <t>A detailed description of these conversion factors can be viewed online ().</t>
  </si>
  <si>
    <t xml:space="preserve">Nitrogen content of water is most commonly reported in ppm NO3 or ppm NO3-N. NO3 is converted to lbs N/acre foot of water by multiplying by 0.62. </t>
  </si>
  <si>
    <t>NO3 Method</t>
  </si>
  <si>
    <t>Parts per million (ppm) NO3 (from lab analysis)</t>
  </si>
  <si>
    <t>Pounds of Nitrogen per ac-ft.</t>
  </si>
  <si>
    <t>Pounds of Nitrogen applied per acre from water</t>
  </si>
  <si>
    <t>NO3-N Method</t>
  </si>
  <si>
    <t>Parts per million (ppm) NO3-N (from lab analysis)</t>
  </si>
  <si>
    <t>lbs. N/ac.</t>
  </si>
  <si>
    <t>%</t>
  </si>
  <si>
    <t>gal.</t>
  </si>
  <si>
    <t>lbs.</t>
  </si>
  <si>
    <t>Records are required for all certiﬁed acres.</t>
  </si>
  <si>
    <t xml:space="preserve">Chapter 14 — Year End Water and Nitrogen Use </t>
  </si>
  <si>
    <t>lbs. N/ac-ft</t>
  </si>
  <si>
    <t>Final use numbers are based on acres certiﬁed in the SIP Certiﬁed program.</t>
  </si>
  <si>
    <t xml:space="preserve">Use this spreadhseet to calculate your water and nitrogen use. </t>
  </si>
  <si>
    <t xml:space="preserve">Attach documentation and/or calculations with speciﬁed units for each question. </t>
  </si>
  <si>
    <t>Key</t>
  </si>
  <si>
    <t xml:space="preserve">Water and nitrogen use reﬂect practices from December 1 through November 30 of the certiﬁcation year. </t>
  </si>
  <si>
    <t>All inspection types (full, documentation, documentation and onsite) submit Chapter 14 annually.</t>
  </si>
  <si>
    <r>
      <t xml:space="preserve">Pounds of fertilizer applied </t>
    </r>
    <r>
      <rPr>
        <b/>
        <i/>
        <sz val="12"/>
        <color theme="1"/>
        <rFont val="Myriad Pro"/>
        <family val="2"/>
      </rPr>
      <t>per acre</t>
    </r>
  </si>
  <si>
    <t>OR</t>
  </si>
  <si>
    <t>Calculators for either method are provided. Use one method only.</t>
  </si>
  <si>
    <t>Analysis Numbers from Lab</t>
  </si>
  <si>
    <t>% wet</t>
  </si>
  <si>
    <t>N</t>
  </si>
  <si>
    <t>Wt/Vol</t>
  </si>
  <si>
    <t>Cubic yards compost applied per acre</t>
  </si>
  <si>
    <t>Tons compost applied per acre</t>
  </si>
  <si>
    <t>ppm NO3</t>
  </si>
  <si>
    <t>ppm NO3- N</t>
  </si>
  <si>
    <t>SIP Certified Standards | Vineyard Properties</t>
  </si>
  <si>
    <r>
      <rPr>
        <b/>
        <sz val="12"/>
        <color theme="1"/>
        <rFont val="Myriad Pro"/>
        <family val="2"/>
      </rPr>
      <t>Due December 15</t>
    </r>
    <r>
      <rPr>
        <sz val="12"/>
        <color theme="1"/>
        <rFont val="Myriad Pro"/>
        <family val="2"/>
      </rPr>
      <t xml:space="preserve"> of the certiﬁcation year.</t>
    </r>
  </si>
  <si>
    <t>Enter the calculated results into the database at https://app.sipcertified.org.</t>
  </si>
  <si>
    <t xml:space="preserve"> Total Water (ac-ft/ac) - calculation shown in 14.4</t>
  </si>
  <si>
    <t>Enter pink box calculations into the database (https://app.sipcertified.org). &gt;&gt;&gt;</t>
  </si>
  <si>
    <t>Enter required information into the yellow boxes. &gt;&gt;&gt;</t>
  </si>
  <si>
    <t>Tons / Acre - calculation shown in 14.4</t>
  </si>
  <si>
    <t>&lt;&lt; Range is 1% to 2%</t>
  </si>
  <si>
    <t>Pounds N per ton</t>
  </si>
  <si>
    <t>Calculation using cubic yards appplied</t>
  </si>
  <si>
    <t>Estimated percent of total N Available Year 1</t>
  </si>
  <si>
    <t>Total Lbs. N applied per acre</t>
  </si>
  <si>
    <t>Lbs. N/ac.</t>
  </si>
  <si>
    <t>Calculation using tons applied</t>
  </si>
  <si>
    <t>Estimated Lbs./ton released Year 1</t>
  </si>
  <si>
    <t>Lbs N</t>
  </si>
  <si>
    <t>tons/ac.</t>
  </si>
  <si>
    <t>Gallons per acre to acre-feet</t>
  </si>
  <si>
    <t>Gallons per vine</t>
  </si>
  <si>
    <t>Gallons per vine to acre-feet</t>
  </si>
  <si>
    <t>L/hr</t>
  </si>
  <si>
    <t>Emitter flow rate per vine</t>
  </si>
  <si>
    <t>hr</t>
  </si>
  <si>
    <t>Runtime in hours coverter to acre-feet, flow in liters</t>
  </si>
  <si>
    <t>Runtime in hours coverter to acre-feet, flow in gallons</t>
  </si>
  <si>
    <t>Which method do you want to use to report irrigation water use to SIP Certified?</t>
  </si>
  <si>
    <t>Compost Calculator (for 14.3.2)</t>
  </si>
  <si>
    <r>
      <t>lb/yd</t>
    </r>
    <r>
      <rPr>
        <b/>
        <vertAlign val="superscript"/>
        <sz val="12"/>
        <rFont val="Myriad Pro"/>
        <family val="2"/>
      </rPr>
      <t xml:space="preserve">3 </t>
    </r>
    <r>
      <rPr>
        <b/>
        <sz val="12"/>
        <rFont val="Myriad Pro"/>
        <family val="2"/>
      </rPr>
      <t>&lt;&lt; Range is 800 to 1000 lbs</t>
    </r>
  </si>
  <si>
    <r>
      <t>Pounds N per yd</t>
    </r>
    <r>
      <rPr>
        <b/>
        <vertAlign val="superscript"/>
        <sz val="12"/>
        <rFont val="Myriad Pro"/>
        <family val="2"/>
      </rPr>
      <t>3</t>
    </r>
  </si>
  <si>
    <r>
      <t>Estimated Lbs./yd</t>
    </r>
    <r>
      <rPr>
        <vertAlign val="superscript"/>
        <sz val="12"/>
        <color theme="1"/>
        <rFont val="Myriad Pro"/>
        <family val="2"/>
      </rPr>
      <t>3</t>
    </r>
    <r>
      <rPr>
        <sz val="12"/>
        <color theme="1"/>
        <rFont val="Myriad Pro"/>
        <family val="2"/>
      </rPr>
      <t xml:space="preserve"> released Year 1</t>
    </r>
  </si>
  <si>
    <t>Methods:</t>
  </si>
  <si>
    <t>Gallons per minute per acre</t>
  </si>
  <si>
    <t>Acre-feet applied frost water per acre</t>
  </si>
  <si>
    <t>gpm</t>
  </si>
  <si>
    <t>Irrigation Calculator (for 14.2.1)</t>
  </si>
  <si>
    <t>To convert water units per acre to acre feet, use the Irrigation (14.2.1) tab in this workbook.</t>
  </si>
  <si>
    <t>To convert water units per acre to acre feet, use the Frost Protection (14.2.2) tab in this workbook.</t>
  </si>
  <si>
    <t>Frost Water Calculator (for 14.2.2)</t>
  </si>
  <si>
    <t>Hours of run time</t>
  </si>
  <si>
    <t>ac-ft/ac (enter into 14.2.1)</t>
  </si>
  <si>
    <r>
      <t>Lbs N/yd</t>
    </r>
    <r>
      <rPr>
        <vertAlign val="superscript"/>
        <sz val="12"/>
        <color theme="1"/>
        <rFont val="Myriad Pro"/>
      </rPr>
      <t>3</t>
    </r>
  </si>
  <si>
    <r>
      <t>yd</t>
    </r>
    <r>
      <rPr>
        <vertAlign val="superscript"/>
        <sz val="12"/>
        <color theme="1"/>
        <rFont val="Myriad Pro"/>
      </rPr>
      <t>3</t>
    </r>
    <r>
      <rPr>
        <sz val="12"/>
        <color theme="1"/>
        <rFont val="Myriad Pro"/>
      </rPr>
      <t>/ac.</t>
    </r>
  </si>
  <si>
    <t>lbs. N/ac. (Enter into 14.3.2)</t>
  </si>
  <si>
    <t>To calculate the amount of Nitrogen applied per acre from compost, use the Compost (14.3.2) tab in this workbook.</t>
  </si>
  <si>
    <t>ac-ft/ac (Enter into 14.2.2)</t>
  </si>
  <si>
    <t>Enter lab analisys an weight/volume (Wt/Vol) into the green boxes. &gt;&gt;&gt;</t>
  </si>
  <si>
    <t>Calculated values &gt;&gt;&gt;</t>
  </si>
  <si>
    <t>Total Pounds Nitrogen per Acre (fertilizer)</t>
  </si>
  <si>
    <t>Pounds of Nitrogen applied as compost from Compost Calculator</t>
  </si>
  <si>
    <t>Total Pounds Nitrogen per Acre (compost)</t>
  </si>
  <si>
    <t>Enter pink box information into the database (https://app.sipcertified.org). &gt;&gt;&gt;</t>
  </si>
  <si>
    <t>For compost, enter lab analisys an weight/volume (Wt/Vol) into the green boxes. &gt;&gt;&gt;</t>
  </si>
  <si>
    <t>Calculated values for use in formulas &gt;&gt;&gt;</t>
  </si>
  <si>
    <r>
      <t>•</t>
    </r>
    <r>
      <rPr>
        <sz val="18"/>
        <color rgb="FF000000"/>
        <rFont val="Calibri"/>
        <family val="2"/>
        <scheme val="minor"/>
      </rPr>
      <t>Total acres</t>
    </r>
  </si>
  <si>
    <r>
      <t>•</t>
    </r>
    <r>
      <rPr>
        <sz val="18"/>
        <color rgb="FF000000"/>
        <rFont val="Calibri"/>
        <family val="2"/>
        <scheme val="minor"/>
      </rPr>
      <t>Total yield</t>
    </r>
  </si>
  <si>
    <r>
      <t>•</t>
    </r>
    <r>
      <rPr>
        <sz val="18"/>
        <color rgb="FF000000"/>
        <rFont val="Calibri"/>
        <family val="2"/>
        <scheme val="minor"/>
      </rPr>
      <t>Irrigation water applied</t>
    </r>
  </si>
  <si>
    <r>
      <t>•</t>
    </r>
    <r>
      <rPr>
        <sz val="18"/>
        <color rgb="FF000000"/>
        <rFont val="Calibri"/>
        <family val="2"/>
        <scheme val="minor"/>
      </rPr>
      <t>Can be in hours</t>
    </r>
  </si>
  <si>
    <r>
      <t>•</t>
    </r>
    <r>
      <rPr>
        <sz val="18"/>
        <color rgb="FF000000"/>
        <rFont val="Calibri"/>
        <family val="2"/>
        <scheme val="minor"/>
      </rPr>
      <t>Emitter type</t>
    </r>
  </si>
  <si>
    <r>
      <t>•</t>
    </r>
    <r>
      <rPr>
        <sz val="18"/>
        <color rgb="FF000000"/>
        <rFont val="Calibri"/>
        <family val="2"/>
        <scheme val="minor"/>
      </rPr>
      <t>Spacing</t>
    </r>
  </si>
  <si>
    <r>
      <t>•</t>
    </r>
    <r>
      <rPr>
        <sz val="18"/>
        <color rgb="FF000000"/>
        <rFont val="Calibri"/>
        <family val="2"/>
        <scheme val="minor"/>
      </rPr>
      <t>Water applied for frost protection</t>
    </r>
  </si>
  <si>
    <r>
      <t>•</t>
    </r>
    <r>
      <rPr>
        <sz val="18"/>
        <color rgb="FF000000"/>
        <rFont val="Calibri"/>
        <family val="2"/>
        <scheme val="minor"/>
      </rPr>
      <t>Rainfall</t>
    </r>
  </si>
  <si>
    <r>
      <t>•</t>
    </r>
    <r>
      <rPr>
        <sz val="18"/>
        <color rgb="FF000000"/>
        <rFont val="Calibri"/>
        <family val="2"/>
        <scheme val="minor"/>
      </rPr>
      <t>Fertilizers applied</t>
    </r>
  </si>
  <si>
    <r>
      <t>•</t>
    </r>
    <r>
      <rPr>
        <sz val="18"/>
        <color rgb="FF000000"/>
        <rFont val="Calibri"/>
        <family val="2"/>
        <scheme val="minor"/>
      </rPr>
      <t>Solid or liquid</t>
    </r>
  </si>
  <si>
    <r>
      <t>•</t>
    </r>
    <r>
      <rPr>
        <sz val="18"/>
        <color rgb="FF000000"/>
        <rFont val="Calibri"/>
        <family val="2"/>
        <scheme val="minor"/>
      </rPr>
      <t>Compost applied</t>
    </r>
  </si>
  <si>
    <r>
      <t>•</t>
    </r>
    <r>
      <rPr>
        <sz val="18"/>
        <color rgb="FF000000"/>
        <rFont val="Calibri"/>
        <family val="2"/>
        <scheme val="minor"/>
      </rPr>
      <t>Lab analysis of compost</t>
    </r>
  </si>
  <si>
    <r>
      <t>•</t>
    </r>
    <r>
      <rPr>
        <sz val="18"/>
        <color rgb="FF000000"/>
        <rFont val="Calibri"/>
        <family val="2"/>
        <scheme val="minor"/>
      </rPr>
      <t>Lab analysis of water for nitrate content</t>
    </r>
  </si>
  <si>
    <t>Things you'll need</t>
  </si>
  <si>
    <r>
      <t>•</t>
    </r>
    <r>
      <rPr>
        <sz val="32"/>
        <color rgb="FF000000"/>
        <rFont val="Calibri"/>
        <family val="2"/>
        <scheme val="minor"/>
      </rPr>
      <t>Preview of SIP Certified Chapter 14</t>
    </r>
  </si>
  <si>
    <r>
      <t>•</t>
    </r>
    <r>
      <rPr>
        <sz val="32"/>
        <color rgb="FF000000"/>
        <rFont val="Calibri"/>
        <family val="2"/>
        <scheme val="minor"/>
      </rPr>
      <t>Online video tutorial</t>
    </r>
  </si>
  <si>
    <r>
      <t>•</t>
    </r>
    <r>
      <rPr>
        <sz val="32"/>
        <color rgb="FF000000"/>
        <rFont val="Calibri"/>
        <family val="2"/>
        <scheme val="minor"/>
      </rPr>
      <t>Measuring water and nitrogen podcast</t>
    </r>
  </si>
  <si>
    <t>Resources</t>
  </si>
  <si>
    <t>https://www.youtube.com/watch?v=GLb-fOUwawE&amp;list=PLMePddF8qpDwSHIPAwL-3wpH1JXKqmd8P</t>
  </si>
  <si>
    <t>https://app.sipcertified.org/standards/all/2021/preview#ch-14</t>
  </si>
  <si>
    <t>https://www.vineyardteam.org/resources/awba.php?id=633</t>
  </si>
  <si>
    <t>Solid Fertilizers- Fertilize 1</t>
  </si>
  <si>
    <t>Solid Fertilizers- Fertilize 2</t>
  </si>
  <si>
    <t>Liquid fertilizers-Fertilizer 1</t>
  </si>
  <si>
    <t>Liquid fertilizers- Fertilizer 2</t>
  </si>
  <si>
    <t>(Drop down list)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</si>
</sst>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>
    <font>
      <sz val="11"/>
      <color theme="1"/>
      <name val="Calibri"/>
      <family val="2"/>
      <scheme val="minor"/>
    </font>
    <font>
      <sz val="18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8"/>
      <name val="Myriad Pro Light"/>
      <family val="2"/>
    </font>
    <font>
      <sz val="12"/>
      <color theme="1"/>
      <name val="Myriad Pro"/>
      <family val="2"/>
    </font>
    <font>
      <b/>
      <sz val="12"/>
      <name val="Myriad Pro"/>
      <family val="2"/>
    </font>
    <font>
      <sz val="12"/>
      <name val="Myriad Pro"/>
      <family val="2"/>
    </font>
    <font>
      <sz val="14"/>
      <color theme="1"/>
      <name val="Myriad Pro Light"/>
      <family val="2"/>
    </font>
    <font>
      <b/>
      <sz val="12"/>
      <color theme="1"/>
      <name val="Myriad Pro"/>
      <family val="2"/>
    </font>
    <font>
      <sz val="14"/>
      <color theme="1"/>
      <name val="Myriad Pro"/>
      <family val="2"/>
    </font>
    <font>
      <sz val="24"/>
      <color theme="1"/>
      <name val="Myriad Pro Light"/>
      <family val="2"/>
    </font>
    <font>
      <sz val="18"/>
      <color theme="1"/>
      <name val="Myriad Pro Light"/>
      <family val="2"/>
    </font>
    <font>
      <b/>
      <i/>
      <sz val="12"/>
      <color theme="1"/>
      <name val="Myriad Pro"/>
      <family val="2"/>
    </font>
    <font>
      <b/>
      <sz val="20"/>
      <color theme="1"/>
      <name val="Myriad Pro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12"/>
      <name val="Myriad Pro"/>
      <family val="2"/>
    </font>
    <font>
      <vertAlign val="superscript"/>
      <sz val="12"/>
      <color theme="1"/>
      <name val="Myriad Pro"/>
      <family val="2"/>
    </font>
    <font>
      <b/>
      <sz val="12"/>
      <name val="Myriad Pro "/>
    </font>
    <font>
      <b/>
      <sz val="12"/>
      <color theme="1"/>
      <name val="Myriad Pro"/>
    </font>
    <font>
      <sz val="12"/>
      <color theme="1"/>
      <name val="Myriad Pro"/>
    </font>
    <font>
      <vertAlign val="superscript"/>
      <sz val="12"/>
      <color theme="1"/>
      <name val="Myriad Pro"/>
    </font>
    <font>
      <sz val="18"/>
      <color theme="1"/>
      <name val="Arial"/>
      <family val="2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32"/>
      <color theme="1"/>
      <name val="Arial"/>
      <family val="2"/>
    </font>
    <font>
      <sz val="32"/>
      <color rgb="FF000000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5" fillId="0" borderId="0"/>
    <xf numFmtId="9" fontId="16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24">
    <xf numFmtId="0" fontId="0" fillId="0" borderId="0" xfId="0"/>
    <xf numFmtId="0" fontId="1" fillId="3" borderId="0" xfId="0" applyFont="1" applyFill="1" applyBorder="1"/>
    <xf numFmtId="0" fontId="0" fillId="0" borderId="0" xfId="0" applyBorder="1"/>
    <xf numFmtId="0" fontId="2" fillId="0" borderId="0" xfId="0" applyFont="1" applyBorder="1"/>
    <xf numFmtId="0" fontId="3" fillId="3" borderId="5" xfId="0" applyFont="1" applyFill="1" applyBorder="1" applyAlignment="1">
      <alignment horizontal="left" vertical="center" wrapText="1"/>
    </xf>
    <xf numFmtId="0" fontId="0" fillId="0" borderId="5" xfId="0" applyBorder="1"/>
    <xf numFmtId="0" fontId="4" fillId="3" borderId="5" xfId="0" applyFont="1" applyFill="1" applyBorder="1" applyAlignment="1">
      <alignment horizontal="left" vertical="center"/>
    </xf>
    <xf numFmtId="0" fontId="5" fillId="0" borderId="0" xfId="0" applyFont="1"/>
    <xf numFmtId="0" fontId="6" fillId="3" borderId="0" xfId="0" applyFont="1" applyFill="1" applyBorder="1"/>
    <xf numFmtId="0" fontId="5" fillId="3" borderId="0" xfId="0" applyFont="1" applyFill="1" applyBorder="1"/>
    <xf numFmtId="0" fontId="5" fillId="0" borderId="0" xfId="0" applyFont="1" applyBorder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Border="1"/>
    <xf numFmtId="0" fontId="7" fillId="3" borderId="0" xfId="0" applyFont="1" applyFill="1" applyBorder="1" applyAlignment="1">
      <alignment horizontal="left" vertical="center" indent="4"/>
    </xf>
    <xf numFmtId="0" fontId="5" fillId="0" borderId="0" xfId="0" applyFont="1" applyAlignment="1">
      <alignment horizontal="left" indent="4"/>
    </xf>
    <xf numFmtId="0" fontId="5" fillId="0" borderId="3" xfId="0" applyFont="1" applyBorder="1"/>
    <xf numFmtId="0" fontId="5" fillId="0" borderId="0" xfId="0" applyFont="1" applyFill="1" applyBorder="1"/>
    <xf numFmtId="0" fontId="5" fillId="0" borderId="2" xfId="0" applyFont="1" applyBorder="1"/>
    <xf numFmtId="0" fontId="7" fillId="3" borderId="0" xfId="0" applyFont="1" applyFill="1" applyBorder="1" applyAlignment="1">
      <alignment horizontal="left" vertical="center"/>
    </xf>
    <xf numFmtId="0" fontId="8" fillId="0" borderId="0" xfId="0" applyFont="1"/>
    <xf numFmtId="0" fontId="8" fillId="0" borderId="0" xfId="0" applyFont="1" applyBorder="1"/>
    <xf numFmtId="0" fontId="10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5" xfId="0" applyFont="1" applyBorder="1"/>
    <xf numFmtId="0" fontId="5" fillId="2" borderId="1" xfId="0" applyFont="1" applyFill="1" applyBorder="1" applyProtection="1">
      <protection locked="0"/>
    </xf>
    <xf numFmtId="0" fontId="5" fillId="4" borderId="1" xfId="0" applyFont="1" applyFill="1" applyBorder="1"/>
    <xf numFmtId="0" fontId="11" fillId="0" borderId="0" xfId="0" applyFont="1"/>
    <xf numFmtId="0" fontId="12" fillId="0" borderId="0" xfId="0" applyFont="1"/>
    <xf numFmtId="0" fontId="5" fillId="2" borderId="1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left" vertical="center" wrapText="1"/>
    </xf>
    <xf numFmtId="0" fontId="12" fillId="0" borderId="5" xfId="0" applyFont="1" applyBorder="1"/>
    <xf numFmtId="0" fontId="8" fillId="0" borderId="3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Fill="1"/>
    <xf numFmtId="0" fontId="9" fillId="0" borderId="0" xfId="0" applyFont="1"/>
    <xf numFmtId="0" fontId="9" fillId="2" borderId="1" xfId="0" applyFont="1" applyFill="1" applyBorder="1" applyProtection="1">
      <protection locked="0"/>
    </xf>
    <xf numFmtId="0" fontId="9" fillId="4" borderId="1" xfId="0" applyFont="1" applyFill="1" applyBorder="1"/>
    <xf numFmtId="0" fontId="9" fillId="0" borderId="3" xfId="0" applyFont="1" applyBorder="1"/>
    <xf numFmtId="0" fontId="9" fillId="4" borderId="4" xfId="0" applyFont="1" applyFill="1" applyBorder="1"/>
    <xf numFmtId="0" fontId="9" fillId="0" borderId="0" xfId="0" applyFont="1" applyBorder="1"/>
    <xf numFmtId="0" fontId="9" fillId="0" borderId="0" xfId="0" applyFont="1" applyFill="1" applyBorder="1"/>
    <xf numFmtId="0" fontId="9" fillId="2" borderId="1" xfId="0" applyNumberFormat="1" applyFont="1" applyFill="1" applyBorder="1" applyProtection="1">
      <protection locked="0"/>
    </xf>
    <xf numFmtId="0" fontId="9" fillId="0" borderId="0" xfId="0" applyNumberFormat="1" applyFont="1" applyFill="1" applyBorder="1"/>
    <xf numFmtId="0" fontId="5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indent="1"/>
    </xf>
    <xf numFmtId="0" fontId="9" fillId="0" borderId="1" xfId="0" applyFont="1" applyFill="1" applyBorder="1"/>
    <xf numFmtId="0" fontId="9" fillId="4" borderId="1" xfId="0" applyFont="1" applyFill="1" applyBorder="1" applyProtection="1">
      <protection locked="0"/>
    </xf>
    <xf numFmtId="0" fontId="9" fillId="0" borderId="1" xfId="0" applyFont="1" applyFill="1" applyBorder="1" applyProtection="1"/>
    <xf numFmtId="0" fontId="9" fillId="0" borderId="0" xfId="0" applyFont="1" applyAlignment="1"/>
    <xf numFmtId="0" fontId="0" fillId="0" borderId="0" xfId="0" applyFont="1"/>
    <xf numFmtId="2" fontId="5" fillId="0" borderId="0" xfId="0" applyNumberFormat="1" applyFont="1"/>
    <xf numFmtId="0" fontId="12" fillId="0" borderId="0" xfId="0" applyFont="1" applyBorder="1"/>
    <xf numFmtId="0" fontId="9" fillId="0" borderId="5" xfId="0" applyFont="1" applyBorder="1"/>
    <xf numFmtId="2" fontId="9" fillId="0" borderId="1" xfId="0" applyNumberFormat="1" applyFont="1" applyBorder="1"/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/>
    </xf>
    <xf numFmtId="2" fontId="5" fillId="0" borderId="3" xfId="0" applyNumberFormat="1" applyFont="1" applyBorder="1"/>
    <xf numFmtId="2" fontId="5" fillId="0" borderId="0" xfId="0" applyNumberFormat="1" applyFont="1" applyBorder="1"/>
    <xf numFmtId="0" fontId="5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2" fontId="9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left" vertical="center"/>
    </xf>
    <xf numFmtId="2" fontId="7" fillId="0" borderId="0" xfId="0" applyNumberFormat="1" applyFont="1" applyFill="1" applyAlignment="1">
      <alignment horizontal="left"/>
    </xf>
    <xf numFmtId="2" fontId="5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14" fillId="0" borderId="0" xfId="0" applyFont="1"/>
    <xf numFmtId="1" fontId="5" fillId="0" borderId="0" xfId="2" applyNumberFormat="1" applyFont="1" applyBorder="1"/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Fill="1" applyBorder="1"/>
    <xf numFmtId="0" fontId="9" fillId="0" borderId="3" xfId="0" applyFont="1" applyBorder="1" applyAlignment="1">
      <alignment vertical="top"/>
    </xf>
    <xf numFmtId="0" fontId="5" fillId="0" borderId="0" xfId="0" applyFont="1" applyAlignment="1"/>
    <xf numFmtId="2" fontId="9" fillId="4" borderId="1" xfId="0" applyNumberFormat="1" applyFont="1" applyFill="1" applyBorder="1"/>
    <xf numFmtId="0" fontId="20" fillId="0" borderId="0" xfId="0" applyFont="1"/>
    <xf numFmtId="0" fontId="21" fillId="0" borderId="0" xfId="0" applyFont="1"/>
    <xf numFmtId="0" fontId="20" fillId="0" borderId="0" xfId="0" applyFont="1" applyBorder="1"/>
    <xf numFmtId="0" fontId="20" fillId="0" borderId="0" xfId="0" applyFont="1" applyBorder="1" applyAlignment="1"/>
    <xf numFmtId="0" fontId="21" fillId="2" borderId="1" xfId="0" applyFont="1" applyFill="1" applyBorder="1" applyProtection="1">
      <protection locked="0"/>
    </xf>
    <xf numFmtId="0" fontId="20" fillId="4" borderId="1" xfId="0" applyFont="1" applyFill="1" applyBorder="1"/>
    <xf numFmtId="0" fontId="5" fillId="0" borderId="0" xfId="0" applyFont="1" applyAlignment="1">
      <alignment wrapText="1"/>
    </xf>
    <xf numFmtId="2" fontId="20" fillId="4" borderId="1" xfId="0" applyNumberFormat="1" applyFont="1" applyFill="1" applyBorder="1"/>
    <xf numFmtId="2" fontId="9" fillId="0" borderId="0" xfId="0" applyNumberFormat="1" applyFont="1" applyBorder="1"/>
    <xf numFmtId="0" fontId="14" fillId="0" borderId="0" xfId="0" applyFont="1" applyAlignment="1">
      <alignment horizontal="right"/>
    </xf>
    <xf numFmtId="0" fontId="5" fillId="5" borderId="1" xfId="0" applyFont="1" applyFill="1" applyBorder="1"/>
    <xf numFmtId="2" fontId="9" fillId="4" borderId="1" xfId="0" applyNumberFormat="1" applyFont="1" applyFill="1" applyBorder="1" applyProtection="1"/>
    <xf numFmtId="0" fontId="5" fillId="7" borderId="1" xfId="0" applyFont="1" applyFill="1" applyBorder="1"/>
    <xf numFmtId="0" fontId="20" fillId="7" borderId="1" xfId="0" applyFont="1" applyFill="1" applyBorder="1"/>
    <xf numFmtId="164" fontId="5" fillId="7" borderId="1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Protection="1">
      <protection locked="0"/>
    </xf>
    <xf numFmtId="2" fontId="5" fillId="6" borderId="1" xfId="0" applyNumberFormat="1" applyFont="1" applyFill="1" applyBorder="1" applyAlignment="1" applyProtection="1">
      <alignment horizontal="center"/>
      <protection locked="0"/>
    </xf>
    <xf numFmtId="1" fontId="5" fillId="6" borderId="1" xfId="0" applyNumberFormat="1" applyFont="1" applyFill="1" applyBorder="1" applyAlignment="1" applyProtection="1">
      <alignment horizontal="center"/>
      <protection locked="0"/>
    </xf>
    <xf numFmtId="1" fontId="5" fillId="2" borderId="1" xfId="2" applyNumberFormat="1" applyFont="1" applyFill="1" applyBorder="1" applyProtection="1">
      <protection locked="0"/>
    </xf>
    <xf numFmtId="0" fontId="6" fillId="3" borderId="0" xfId="0" applyFont="1" applyFill="1" applyBorder="1" applyAlignment="1">
      <alignment horizontal="left" vertical="center"/>
    </xf>
    <xf numFmtId="0" fontId="9" fillId="0" borderId="0" xfId="0" applyFont="1" applyAlignment="1">
      <alignment vertical="top" wrapText="1"/>
    </xf>
    <xf numFmtId="0" fontId="23" fillId="0" borderId="0" xfId="0" applyFont="1" applyAlignment="1">
      <alignment horizontal="left" vertical="center" indent="5" readingOrder="1"/>
    </xf>
    <xf numFmtId="0" fontId="23" fillId="0" borderId="0" xfId="0" applyFont="1" applyAlignment="1">
      <alignment horizontal="left" vertical="center" indent="10" readingOrder="1"/>
    </xf>
    <xf numFmtId="0" fontId="25" fillId="0" borderId="0" xfId="0" applyFont="1"/>
    <xf numFmtId="0" fontId="26" fillId="0" borderId="0" xfId="0" applyFont="1" applyAlignment="1">
      <alignment horizontal="left" vertical="center" indent="4" readingOrder="1"/>
    </xf>
    <xf numFmtId="0" fontId="28" fillId="0" borderId="0" xfId="0" applyFont="1"/>
    <xf numFmtId="0" fontId="29" fillId="0" borderId="0" xfId="3" applyAlignment="1">
      <alignment horizontal="left" vertical="center" indent="8" readingOrder="1"/>
    </xf>
    <xf numFmtId="0" fontId="29" fillId="0" borderId="0" xfId="3"/>
    <xf numFmtId="0" fontId="5" fillId="2" borderId="1" xfId="0" applyFont="1" applyFill="1" applyBorder="1" applyAlignment="1">
      <alignment horizontal="left"/>
    </xf>
    <xf numFmtId="0" fontId="5" fillId="0" borderId="0" xfId="0" quotePrefix="1" applyFont="1"/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left" vertical="top" wrapText="1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7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19" fillId="0" borderId="5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14" fillId="0" borderId="0" xfId="0" applyFont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ineyardteam.org/resources/awba.php?id=633" TargetMode="External"/><Relationship Id="rId2" Type="http://schemas.openxmlformats.org/officeDocument/2006/relationships/hyperlink" Target="https://www.youtube.com/watch?v=GLb-fOUwawE&amp;list=PLMePddF8qpDwSHIPAwL-3wpH1JXKqmd8P" TargetMode="External"/><Relationship Id="rId1" Type="http://schemas.openxmlformats.org/officeDocument/2006/relationships/hyperlink" Target="https://app.sipcertified.org/standards/all/2021/preview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6"/>
  <sheetViews>
    <sheetView showGridLines="0" workbookViewId="0">
      <selection activeCell="B2" sqref="B2"/>
    </sheetView>
  </sheetViews>
  <sheetFormatPr defaultRowHeight="15"/>
  <sheetData>
    <row r="2" spans="2:2" ht="23.25">
      <c r="B2" s="105" t="s">
        <v>176</v>
      </c>
    </row>
    <row r="4" spans="2:2" ht="23.25">
      <c r="B4" s="103" t="s">
        <v>163</v>
      </c>
    </row>
    <row r="5" spans="2:2" ht="23.25">
      <c r="B5" s="103" t="s">
        <v>164</v>
      </c>
    </row>
    <row r="6" spans="2:2" ht="23.25">
      <c r="B6" s="103" t="s">
        <v>165</v>
      </c>
    </row>
    <row r="7" spans="2:2" ht="23.25">
      <c r="B7" s="104" t="s">
        <v>166</v>
      </c>
    </row>
    <row r="8" spans="2:2" ht="23.25">
      <c r="B8" s="103" t="s">
        <v>167</v>
      </c>
    </row>
    <row r="9" spans="2:2" ht="23.25">
      <c r="B9" s="103" t="s">
        <v>168</v>
      </c>
    </row>
    <row r="10" spans="2:2" ht="23.25">
      <c r="B10" s="103" t="s">
        <v>169</v>
      </c>
    </row>
    <row r="11" spans="2:2" ht="23.25">
      <c r="B11" s="103" t="s">
        <v>170</v>
      </c>
    </row>
    <row r="12" spans="2:2" ht="23.25">
      <c r="B12" s="103" t="s">
        <v>171</v>
      </c>
    </row>
    <row r="13" spans="2:2" ht="23.25">
      <c r="B13" s="104" t="s">
        <v>172</v>
      </c>
    </row>
    <row r="14" spans="2:2" ht="23.25">
      <c r="B14" s="103" t="s">
        <v>173</v>
      </c>
    </row>
    <row r="15" spans="2:2" ht="23.25">
      <c r="B15" s="103" t="s">
        <v>174</v>
      </c>
    </row>
    <row r="16" spans="2:2" ht="23.25">
      <c r="B16" s="103" t="s">
        <v>175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A4" sqref="A4"/>
    </sheetView>
  </sheetViews>
  <sheetFormatPr defaultRowHeight="15"/>
  <sheetData>
    <row r="1" spans="1:1">
      <c r="A1" t="s">
        <v>134</v>
      </c>
    </row>
    <row r="2" spans="1:1">
      <c r="A2" t="s">
        <v>133</v>
      </c>
    </row>
    <row r="3" spans="1:1">
      <c r="A3" t="s">
        <v>129</v>
      </c>
    </row>
    <row r="4" spans="1:1">
      <c r="A4" t="s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1"/>
  <sheetViews>
    <sheetView showGridLines="0" workbookViewId="0">
      <selection activeCell="B20" sqref="B20"/>
    </sheetView>
  </sheetViews>
  <sheetFormatPr defaultColWidth="9.140625" defaultRowHeight="18"/>
  <cols>
    <col min="1" max="1" width="9.140625" style="23"/>
    <col min="2" max="2" width="89.28515625" style="23" customWidth="1"/>
    <col min="3" max="16384" width="9.140625" style="23"/>
  </cols>
  <sheetData>
    <row r="2" spans="2:6" ht="30">
      <c r="B2" s="29" t="s">
        <v>110</v>
      </c>
    </row>
    <row r="4" spans="2:6" ht="23.25">
      <c r="B4" s="30" t="s">
        <v>91</v>
      </c>
    </row>
    <row r="5" spans="2:6" s="7" customFormat="1" ht="15"/>
    <row r="6" spans="2:6" s="36" customFormat="1" ht="18" customHeight="1">
      <c r="B6" s="50" t="s">
        <v>111</v>
      </c>
    </row>
    <row r="7" spans="2:6" s="36" customFormat="1" ht="18" customHeight="1">
      <c r="B7" s="50" t="s">
        <v>97</v>
      </c>
    </row>
    <row r="8" spans="2:6" s="36" customFormat="1" ht="18" customHeight="1">
      <c r="B8" s="50" t="s">
        <v>90</v>
      </c>
    </row>
    <row r="9" spans="2:6" s="36" customFormat="1" ht="18" customHeight="1">
      <c r="B9" s="50" t="s">
        <v>98</v>
      </c>
    </row>
    <row r="10" spans="2:6" s="36" customFormat="1" ht="18" customHeight="1">
      <c r="B10" s="50" t="s">
        <v>93</v>
      </c>
      <c r="C10" s="37"/>
      <c r="D10" s="37"/>
      <c r="E10" s="37"/>
      <c r="F10" s="37"/>
    </row>
    <row r="11" spans="2:6" s="36" customFormat="1" ht="18" customHeight="1">
      <c r="B11" s="50"/>
      <c r="C11" s="37"/>
      <c r="D11" s="37"/>
      <c r="E11" s="37"/>
      <c r="F11" s="37"/>
    </row>
    <row r="12" spans="2:6" s="36" customFormat="1" ht="18" customHeight="1">
      <c r="B12" s="36" t="s">
        <v>94</v>
      </c>
      <c r="C12" s="37"/>
      <c r="D12" s="37"/>
      <c r="E12" s="37"/>
      <c r="F12" s="37"/>
    </row>
    <row r="13" spans="2:6" s="36" customFormat="1" ht="18" customHeight="1">
      <c r="B13" s="50" t="s">
        <v>112</v>
      </c>
      <c r="C13" s="37"/>
      <c r="D13" s="37"/>
      <c r="E13" s="37"/>
      <c r="F13" s="37"/>
    </row>
    <row r="14" spans="2:6" s="7" customFormat="1" ht="15">
      <c r="B14" s="51" t="s">
        <v>95</v>
      </c>
    </row>
    <row r="15" spans="2:6" s="7" customFormat="1" ht="15"/>
    <row r="16" spans="2:6" s="7" customFormat="1" ht="16.5" thickBot="1">
      <c r="B16" s="112" t="s">
        <v>96</v>
      </c>
      <c r="C16" s="112"/>
    </row>
    <row r="17" spans="2:5" ht="18.75" thickTop="1">
      <c r="B17" s="101" t="s">
        <v>115</v>
      </c>
      <c r="C17" s="31"/>
      <c r="D17" s="7"/>
      <c r="E17" s="7"/>
    </row>
    <row r="18" spans="2:5">
      <c r="B18" s="101" t="s">
        <v>161</v>
      </c>
      <c r="C18" s="92"/>
      <c r="D18" s="7"/>
      <c r="E18" s="7"/>
    </row>
    <row r="19" spans="2:5">
      <c r="B19" s="101" t="s">
        <v>162</v>
      </c>
      <c r="C19" s="94"/>
      <c r="D19" s="7"/>
      <c r="E19" s="7"/>
    </row>
    <row r="20" spans="2:5">
      <c r="B20" s="101" t="s">
        <v>114</v>
      </c>
      <c r="C20" s="28"/>
      <c r="D20" s="7"/>
      <c r="E20" s="7"/>
    </row>
    <row r="21" spans="2:5">
      <c r="C21" s="7"/>
    </row>
  </sheetData>
  <sheetProtection selectLockedCells="1"/>
  <mergeCells count="1">
    <mergeCell ref="B16:C16"/>
  </mergeCell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3"/>
  <sheetViews>
    <sheetView showGridLines="0" workbookViewId="0">
      <selection activeCell="F8" sqref="F8"/>
    </sheetView>
  </sheetViews>
  <sheetFormatPr defaultColWidth="9.140625" defaultRowHeight="15"/>
  <cols>
    <col min="1" max="1" width="9.140625" style="7"/>
    <col min="2" max="3" width="8.85546875" style="7"/>
    <col min="4" max="4" width="14.28515625" style="7" customWidth="1"/>
    <col min="5" max="5" width="46.85546875" style="7" customWidth="1"/>
    <col min="6" max="7" width="8.85546875" style="7" customWidth="1"/>
    <col min="8" max="8" width="57.28515625" style="7" customWidth="1"/>
    <col min="9" max="11" width="8.85546875" style="7" customWidth="1"/>
    <col min="12" max="16384" width="9.140625" style="7"/>
  </cols>
  <sheetData>
    <row r="1" spans="2:13" ht="15" customHeight="1">
      <c r="B1" s="24"/>
      <c r="C1" s="25"/>
      <c r="D1" s="25"/>
      <c r="E1" s="25"/>
      <c r="F1" s="25"/>
    </row>
    <row r="2" spans="2:13" ht="24" thickBot="1">
      <c r="B2" s="34" t="s">
        <v>1</v>
      </c>
      <c r="C2" s="26"/>
      <c r="D2" s="26"/>
      <c r="E2" s="26"/>
      <c r="F2" s="26"/>
    </row>
    <row r="3" spans="2:13" ht="15.75" thickTop="1"/>
    <row r="5" spans="2:13">
      <c r="B5" s="20" t="s">
        <v>160</v>
      </c>
      <c r="F5" s="28"/>
    </row>
    <row r="6" spans="2:13">
      <c r="B6" s="20"/>
    </row>
    <row r="8" spans="2:13" ht="15.75">
      <c r="B8" s="42" t="s">
        <v>50</v>
      </c>
      <c r="C8" s="17"/>
      <c r="D8" s="17"/>
      <c r="E8" s="19"/>
      <c r="F8" s="53">
        <v>2</v>
      </c>
      <c r="G8" s="38" t="s">
        <v>58</v>
      </c>
    </row>
    <row r="10" spans="2:13">
      <c r="I10" s="113" t="str">
        <f>IF(OR(F16&lt;1.62,F16&gt;5.48),"For 14.1.2 Tons per acre
It appears your response falls outside of historical responses. It could be appropriate but please confirm your calculation/response.","")</f>
        <v/>
      </c>
      <c r="J10" s="113"/>
      <c r="K10" s="113"/>
      <c r="L10" s="113"/>
      <c r="M10" s="113"/>
    </row>
    <row r="11" spans="2:13">
      <c r="I11" s="113"/>
      <c r="J11" s="113"/>
      <c r="K11" s="113"/>
      <c r="L11" s="113"/>
      <c r="M11" s="113"/>
    </row>
    <row r="12" spans="2:13">
      <c r="I12" s="113"/>
      <c r="J12" s="113"/>
      <c r="K12" s="113"/>
      <c r="L12" s="113"/>
      <c r="M12" s="113"/>
    </row>
    <row r="13" spans="2:13" ht="15.75">
      <c r="B13" s="42" t="s">
        <v>51</v>
      </c>
      <c r="C13" s="17"/>
      <c r="D13" s="17"/>
      <c r="E13" s="17"/>
      <c r="F13" s="53">
        <v>5</v>
      </c>
      <c r="G13" s="38" t="s">
        <v>59</v>
      </c>
      <c r="I13" s="113"/>
      <c r="J13" s="113"/>
      <c r="K13" s="113"/>
      <c r="L13" s="113"/>
      <c r="M13" s="113"/>
    </row>
    <row r="14" spans="2:13">
      <c r="I14" s="113"/>
      <c r="J14" s="113"/>
      <c r="K14" s="113"/>
      <c r="L14" s="113"/>
      <c r="M14" s="113"/>
    </row>
    <row r="15" spans="2:13">
      <c r="I15" s="113"/>
      <c r="J15" s="113"/>
      <c r="K15" s="113"/>
      <c r="L15" s="113"/>
      <c r="M15" s="113"/>
    </row>
    <row r="16" spans="2:13" ht="15.75">
      <c r="F16" s="54">
        <f>F13/F8</f>
        <v>2.5</v>
      </c>
      <c r="G16" s="55" t="s">
        <v>116</v>
      </c>
      <c r="I16" s="113"/>
      <c r="J16" s="113"/>
      <c r="K16" s="113"/>
      <c r="L16" s="113"/>
      <c r="M16" s="113"/>
    </row>
    <row r="17" spans="9:13" ht="15.75">
      <c r="I17" s="39"/>
      <c r="J17" s="39"/>
      <c r="K17" s="39"/>
      <c r="L17" s="39"/>
      <c r="M17" s="39"/>
    </row>
    <row r="18" spans="9:13" ht="15.6" customHeight="1">
      <c r="I18" s="114" t="str">
        <f>IF(OR(F16&lt;1.62,F16&gt;5.48),"Average response = 3.65 Tons per acre
90% of responses are &lt;5.48 Tons per acre
90% of responses are &gt;1.62 Tons per acre","")</f>
        <v/>
      </c>
      <c r="J18" s="114"/>
      <c r="K18" s="114"/>
      <c r="L18" s="114"/>
      <c r="M18" s="114"/>
    </row>
    <row r="19" spans="9:13">
      <c r="I19" s="114"/>
      <c r="J19" s="114"/>
      <c r="K19" s="114"/>
      <c r="L19" s="114"/>
      <c r="M19" s="114"/>
    </row>
    <row r="20" spans="9:13">
      <c r="I20" s="114"/>
      <c r="J20" s="114"/>
      <c r="K20" s="114"/>
      <c r="L20" s="114"/>
      <c r="M20" s="114"/>
    </row>
    <row r="21" spans="9:13">
      <c r="I21" s="114"/>
      <c r="J21" s="114"/>
      <c r="K21" s="114"/>
      <c r="L21" s="114"/>
      <c r="M21" s="114"/>
    </row>
    <row r="22" spans="9:13">
      <c r="I22" s="48"/>
      <c r="J22" s="48"/>
      <c r="K22" s="48"/>
      <c r="L22" s="48"/>
      <c r="M22" s="48"/>
    </row>
    <row r="23" spans="9:13">
      <c r="I23" s="48"/>
      <c r="J23" s="48"/>
      <c r="K23" s="48"/>
      <c r="L23" s="48"/>
      <c r="M23" s="48"/>
    </row>
  </sheetData>
  <sheetProtection sheet="1" objects="1" scenarios="1" selectLockedCells="1"/>
  <mergeCells count="2">
    <mergeCell ref="I10:M16"/>
    <mergeCell ref="I18:M21"/>
  </mergeCell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G62"/>
  <sheetViews>
    <sheetView showGridLines="0" tabSelected="1" workbookViewId="0">
      <selection activeCell="D11" sqref="D11"/>
    </sheetView>
  </sheetViews>
  <sheetFormatPr defaultColWidth="9.140625" defaultRowHeight="15"/>
  <cols>
    <col min="1" max="1" width="9.140625" style="10"/>
    <col min="2" max="2" width="9.140625" style="7"/>
    <col min="3" max="3" width="54.42578125" style="7" customWidth="1"/>
    <col min="4" max="6" width="9.140625" style="7"/>
    <col min="7" max="7" width="12" style="57" bestFit="1" customWidth="1"/>
    <col min="8" max="8" width="2.7109375" style="7" bestFit="1" customWidth="1"/>
    <col min="9" max="9" width="9.85546875" style="7" bestFit="1" customWidth="1"/>
    <col min="10" max="293" width="9.140625" style="10"/>
    <col min="294" max="16384" width="9.140625" style="7"/>
  </cols>
  <sheetData>
    <row r="2" spans="1:293" ht="24" thickBot="1">
      <c r="B2" s="34" t="s">
        <v>144</v>
      </c>
      <c r="C2" s="26"/>
      <c r="D2" s="26"/>
      <c r="E2" s="26"/>
      <c r="F2" s="26"/>
      <c r="G2" s="26"/>
      <c r="H2" s="26"/>
      <c r="I2" s="26"/>
    </row>
    <row r="3" spans="1:293" ht="24" thickTop="1">
      <c r="B3" s="58"/>
      <c r="C3" s="10"/>
      <c r="D3" s="10"/>
      <c r="E3" s="10"/>
      <c r="F3" s="10"/>
      <c r="G3" s="7"/>
    </row>
    <row r="4" spans="1:293" ht="15.6" customHeight="1">
      <c r="B4" s="20" t="s">
        <v>115</v>
      </c>
      <c r="F4" s="18"/>
      <c r="G4" s="7"/>
      <c r="H4" s="49"/>
      <c r="I4" s="31"/>
      <c r="J4" s="61"/>
      <c r="K4" s="61"/>
      <c r="L4" s="61"/>
      <c r="M4" s="61"/>
    </row>
    <row r="5" spans="1:293" ht="15.75">
      <c r="B5" s="20" t="s">
        <v>114</v>
      </c>
      <c r="F5" s="18"/>
      <c r="G5" s="7"/>
      <c r="H5" s="49"/>
      <c r="I5" s="28"/>
      <c r="J5" s="61"/>
      <c r="K5" s="61"/>
      <c r="L5" s="61"/>
      <c r="M5" s="61"/>
    </row>
    <row r="6" spans="1:293" ht="15.75">
      <c r="B6" s="20"/>
      <c r="F6" s="18"/>
      <c r="G6" s="7"/>
      <c r="H6" s="49"/>
      <c r="I6" s="49"/>
      <c r="J6" s="61"/>
      <c r="K6" s="61"/>
      <c r="L6" s="61"/>
      <c r="M6" s="61"/>
    </row>
    <row r="7" spans="1:293" ht="15.75">
      <c r="B7" s="20"/>
      <c r="F7" s="18"/>
      <c r="G7" s="7"/>
      <c r="H7" s="49"/>
      <c r="I7" s="49"/>
      <c r="J7" s="61"/>
      <c r="K7" s="61"/>
      <c r="L7" s="61"/>
      <c r="M7" s="61"/>
    </row>
    <row r="8" spans="1:293" ht="15.75">
      <c r="B8" s="24" t="s">
        <v>135</v>
      </c>
      <c r="C8" s="24"/>
      <c r="F8" s="18"/>
      <c r="G8" s="7"/>
      <c r="H8" s="49"/>
      <c r="I8" s="49"/>
      <c r="J8" s="61"/>
      <c r="K8" s="61"/>
      <c r="L8" s="61"/>
      <c r="M8" s="61"/>
    </row>
    <row r="9" spans="1:293" ht="15.75">
      <c r="C9" s="110" t="s">
        <v>134</v>
      </c>
      <c r="F9" s="18"/>
      <c r="G9" s="7"/>
      <c r="H9" s="49"/>
      <c r="I9" s="49"/>
      <c r="J9" s="61"/>
      <c r="K9" s="61"/>
      <c r="L9" s="61"/>
      <c r="M9" s="61"/>
    </row>
    <row r="10" spans="1:293" ht="15.75">
      <c r="C10" s="111" t="s">
        <v>188</v>
      </c>
      <c r="F10" s="18"/>
      <c r="G10" s="7"/>
      <c r="H10" s="49"/>
      <c r="I10" s="49"/>
      <c r="J10" s="61"/>
      <c r="K10" s="61"/>
      <c r="L10" s="61"/>
      <c r="M10" s="61"/>
    </row>
    <row r="11" spans="1:293" ht="15.75">
      <c r="F11" s="18"/>
      <c r="G11" s="7"/>
      <c r="H11" s="49"/>
      <c r="I11" s="81">
        <f>IF(C9="Runtime in hours coverter to acre-feet, flow in gallons",I25,IF(C9="Runtime in hours coverter to acre-feet, flow in liters",I40,IF(C9="Gallons per vine to acre-feet",I53,I62)))</f>
        <v>1.3368073137722456</v>
      </c>
      <c r="J11" s="45" t="s">
        <v>149</v>
      </c>
      <c r="K11" s="61"/>
      <c r="L11" s="61"/>
      <c r="M11" s="61"/>
    </row>
    <row r="12" spans="1:293" ht="15.75">
      <c r="B12" s="20"/>
      <c r="F12" s="18"/>
      <c r="G12" s="7"/>
      <c r="H12" s="49"/>
      <c r="I12" s="49"/>
      <c r="J12" s="61"/>
      <c r="K12" s="61"/>
      <c r="L12" s="61"/>
      <c r="M12" s="61"/>
    </row>
    <row r="13" spans="1:293" ht="18">
      <c r="B13" s="35" t="s">
        <v>140</v>
      </c>
      <c r="C13" s="17"/>
      <c r="D13" s="17"/>
      <c r="E13" s="17"/>
      <c r="F13" s="78"/>
      <c r="G13" s="17"/>
      <c r="H13" s="79"/>
      <c r="I13" s="79"/>
      <c r="J13" s="61"/>
      <c r="K13" s="61"/>
      <c r="L13" s="61"/>
      <c r="M13" s="61"/>
    </row>
    <row r="15" spans="1:293" s="39" customFormat="1" ht="16.5" thickBot="1">
      <c r="A15" s="44"/>
      <c r="B15" s="115" t="s">
        <v>134</v>
      </c>
      <c r="C15" s="115"/>
      <c r="D15" s="115"/>
      <c r="E15" s="115"/>
      <c r="F15" s="115"/>
      <c r="G15" s="115"/>
      <c r="H15" s="115"/>
      <c r="I15" s="115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  <c r="JC15" s="44"/>
      <c r="JD15" s="44"/>
      <c r="JE15" s="44"/>
      <c r="JF15" s="44"/>
      <c r="JG15" s="44"/>
      <c r="JH15" s="44"/>
      <c r="JI15" s="44"/>
      <c r="JJ15" s="44"/>
      <c r="JK15" s="44"/>
      <c r="JL15" s="44"/>
      <c r="JM15" s="44"/>
      <c r="JN15" s="44"/>
      <c r="JO15" s="44"/>
      <c r="JP15" s="44"/>
      <c r="JQ15" s="44"/>
      <c r="JR15" s="44"/>
      <c r="JS15" s="44"/>
      <c r="JT15" s="44"/>
      <c r="JU15" s="44"/>
      <c r="JV15" s="44"/>
      <c r="JW15" s="44"/>
      <c r="JX15" s="44"/>
      <c r="JY15" s="44"/>
      <c r="JZ15" s="44"/>
      <c r="KA15" s="44"/>
      <c r="KB15" s="44"/>
      <c r="KC15" s="44"/>
      <c r="KD15" s="44"/>
      <c r="KE15" s="44"/>
      <c r="KF15" s="44"/>
      <c r="KG15" s="44"/>
    </row>
    <row r="16" spans="1:293" s="39" customFormat="1" ht="16.5" thickTop="1">
      <c r="A16" s="44"/>
      <c r="B16" s="62"/>
      <c r="C16" s="62"/>
      <c r="D16" s="62"/>
      <c r="E16" s="62"/>
      <c r="F16" s="62"/>
      <c r="G16" s="62"/>
      <c r="H16" s="62"/>
      <c r="I16" s="62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  <c r="JC16" s="44"/>
      <c r="JD16" s="44"/>
      <c r="JE16" s="44"/>
      <c r="JF16" s="44"/>
      <c r="JG16" s="44"/>
      <c r="JH16" s="44"/>
      <c r="JI16" s="44"/>
      <c r="JJ16" s="44"/>
      <c r="JK16" s="44"/>
      <c r="JL16" s="44"/>
      <c r="JM16" s="44"/>
      <c r="JN16" s="44"/>
      <c r="JO16" s="44"/>
      <c r="JP16" s="44"/>
      <c r="JQ16" s="44"/>
      <c r="JR16" s="44"/>
      <c r="JS16" s="44"/>
      <c r="JT16" s="44"/>
      <c r="JU16" s="44"/>
      <c r="JV16" s="44"/>
      <c r="JW16" s="44"/>
      <c r="JX16" s="44"/>
      <c r="JY16" s="44"/>
      <c r="JZ16" s="44"/>
      <c r="KA16" s="44"/>
      <c r="KB16" s="44"/>
      <c r="KC16" s="44"/>
      <c r="KD16" s="44"/>
      <c r="KE16" s="44"/>
      <c r="KF16" s="44"/>
      <c r="KG16" s="44"/>
    </row>
    <row r="17" spans="1:293">
      <c r="B17" s="17" t="s">
        <v>52</v>
      </c>
      <c r="C17" s="17"/>
      <c r="D17" s="17"/>
      <c r="E17" s="17"/>
      <c r="F17" s="17"/>
      <c r="G17" s="17"/>
      <c r="H17" s="19"/>
      <c r="I17" s="27">
        <v>400</v>
      </c>
      <c r="J17" s="7" t="s">
        <v>132</v>
      </c>
    </row>
    <row r="18" spans="1:293">
      <c r="B18" s="10"/>
      <c r="C18" s="10"/>
      <c r="D18" s="10"/>
      <c r="E18" s="10"/>
      <c r="F18" s="10"/>
      <c r="G18" s="10"/>
      <c r="H18" s="10"/>
      <c r="I18" s="18"/>
      <c r="J18" s="7"/>
    </row>
    <row r="19" spans="1:293">
      <c r="B19" s="17" t="s">
        <v>131</v>
      </c>
      <c r="C19" s="17"/>
      <c r="D19" s="17"/>
      <c r="E19" s="17"/>
      <c r="F19" s="17"/>
      <c r="G19" s="63"/>
      <c r="H19" s="19"/>
      <c r="I19" s="27">
        <v>1</v>
      </c>
      <c r="J19" s="7" t="s">
        <v>53</v>
      </c>
    </row>
    <row r="20" spans="1:293">
      <c r="I20" s="97"/>
      <c r="J20" s="7"/>
    </row>
    <row r="21" spans="1:293">
      <c r="B21" s="17" t="s">
        <v>54</v>
      </c>
      <c r="C21" s="17"/>
      <c r="D21" s="17"/>
      <c r="E21" s="17"/>
      <c r="F21" s="17"/>
      <c r="G21" s="63"/>
      <c r="H21" s="19"/>
      <c r="I21" s="27">
        <v>8</v>
      </c>
      <c r="J21" s="7" t="s">
        <v>55</v>
      </c>
    </row>
    <row r="22" spans="1:293">
      <c r="I22" s="18"/>
      <c r="J22" s="7"/>
    </row>
    <row r="23" spans="1:293">
      <c r="B23" s="17" t="s">
        <v>56</v>
      </c>
      <c r="C23" s="17"/>
      <c r="D23" s="17"/>
      <c r="E23" s="17"/>
      <c r="F23" s="17"/>
      <c r="G23" s="63"/>
      <c r="H23" s="17"/>
      <c r="I23" s="27">
        <v>5</v>
      </c>
      <c r="J23" s="7" t="s">
        <v>55</v>
      </c>
    </row>
    <row r="24" spans="1:293">
      <c r="B24" s="10"/>
      <c r="C24" s="10"/>
      <c r="D24" s="10"/>
      <c r="E24" s="10"/>
      <c r="F24" s="10"/>
      <c r="G24" s="64"/>
      <c r="H24" s="10"/>
      <c r="I24" s="18"/>
      <c r="J24" s="7"/>
    </row>
    <row r="25" spans="1:293" ht="15.75">
      <c r="I25" s="60">
        <f>((43560/(I21*I23))*(I17*I19))/325851</f>
        <v>1.3368073137722456</v>
      </c>
      <c r="J25" s="45" t="s">
        <v>60</v>
      </c>
    </row>
    <row r="26" spans="1:293" ht="15.75">
      <c r="I26" s="90"/>
      <c r="J26" s="45"/>
    </row>
    <row r="27" spans="1:293" ht="26.25">
      <c r="D27" s="75" t="s">
        <v>100</v>
      </c>
      <c r="I27" s="90"/>
      <c r="J27" s="45"/>
    </row>
    <row r="28" spans="1:293" ht="15.75">
      <c r="I28" s="90"/>
      <c r="J28" s="45"/>
    </row>
    <row r="30" spans="1:293" s="59" customFormat="1" ht="16.5" thickBot="1">
      <c r="A30" s="44"/>
      <c r="B30" s="115" t="s">
        <v>133</v>
      </c>
      <c r="C30" s="115"/>
      <c r="D30" s="115"/>
      <c r="E30" s="115"/>
      <c r="F30" s="115"/>
      <c r="G30" s="115"/>
      <c r="H30" s="115"/>
      <c r="I30" s="115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  <c r="IU30" s="44"/>
      <c r="IV30" s="44"/>
      <c r="IW30" s="44"/>
      <c r="IX30" s="44"/>
      <c r="IY30" s="44"/>
      <c r="IZ30" s="44"/>
      <c r="JA30" s="44"/>
      <c r="JB30" s="44"/>
      <c r="JC30" s="44"/>
      <c r="JD30" s="44"/>
      <c r="JE30" s="44"/>
      <c r="JF30" s="44"/>
      <c r="JG30" s="44"/>
      <c r="JH30" s="44"/>
      <c r="JI30" s="44"/>
      <c r="JJ30" s="44"/>
      <c r="JK30" s="44"/>
      <c r="JL30" s="44"/>
      <c r="JM30" s="44"/>
      <c r="JN30" s="44"/>
      <c r="JO30" s="44"/>
      <c r="JP30" s="44"/>
      <c r="JQ30" s="44"/>
      <c r="JR30" s="44"/>
      <c r="JS30" s="44"/>
      <c r="JT30" s="44"/>
      <c r="JU30" s="44"/>
      <c r="JV30" s="44"/>
      <c r="JW30" s="44"/>
      <c r="JX30" s="44"/>
      <c r="JY30" s="44"/>
      <c r="JZ30" s="44"/>
      <c r="KA30" s="44"/>
      <c r="KB30" s="44"/>
      <c r="KC30" s="44"/>
      <c r="KD30" s="44"/>
      <c r="KE30" s="44"/>
      <c r="KF30" s="44"/>
      <c r="KG30" s="44"/>
    </row>
    <row r="31" spans="1:293" s="44" customFormat="1" ht="16.5" thickTop="1">
      <c r="B31" s="62"/>
      <c r="C31" s="62"/>
      <c r="D31" s="62"/>
      <c r="E31" s="62"/>
      <c r="F31" s="62"/>
      <c r="G31" s="62"/>
      <c r="H31" s="62"/>
      <c r="I31" s="62"/>
    </row>
    <row r="32" spans="1:293">
      <c r="B32" s="17" t="s">
        <v>52</v>
      </c>
      <c r="C32" s="17"/>
      <c r="D32" s="17"/>
      <c r="E32" s="17"/>
      <c r="F32" s="17"/>
      <c r="G32" s="17"/>
      <c r="H32" s="17"/>
      <c r="I32" s="27">
        <v>360</v>
      </c>
      <c r="J32" s="7" t="s">
        <v>132</v>
      </c>
    </row>
    <row r="33" spans="1:293">
      <c r="G33" s="7"/>
      <c r="I33" s="18"/>
      <c r="J33" s="7"/>
    </row>
    <row r="34" spans="1:293">
      <c r="B34" s="17" t="s">
        <v>131</v>
      </c>
      <c r="C34" s="17"/>
      <c r="D34" s="17"/>
      <c r="E34" s="17"/>
      <c r="F34" s="17"/>
      <c r="G34" s="63"/>
      <c r="H34" s="19"/>
      <c r="I34" s="27">
        <v>4</v>
      </c>
      <c r="J34" s="7" t="s">
        <v>130</v>
      </c>
    </row>
    <row r="35" spans="1:293" ht="15.75">
      <c r="B35" s="39"/>
      <c r="I35" s="18"/>
      <c r="J35" s="7"/>
    </row>
    <row r="36" spans="1:293">
      <c r="B36" s="17" t="s">
        <v>54</v>
      </c>
      <c r="C36" s="17"/>
      <c r="D36" s="17"/>
      <c r="E36" s="17"/>
      <c r="F36" s="17"/>
      <c r="G36" s="63"/>
      <c r="H36" s="17"/>
      <c r="I36" s="27">
        <v>8</v>
      </c>
      <c r="J36" s="7" t="s">
        <v>55</v>
      </c>
    </row>
    <row r="37" spans="1:293">
      <c r="I37" s="18"/>
      <c r="J37" s="7"/>
    </row>
    <row r="38" spans="1:293">
      <c r="B38" s="17" t="s">
        <v>56</v>
      </c>
      <c r="C38" s="17"/>
      <c r="D38" s="17"/>
      <c r="E38" s="17"/>
      <c r="F38" s="17"/>
      <c r="G38" s="63"/>
      <c r="H38" s="19"/>
      <c r="I38" s="27">
        <v>5</v>
      </c>
      <c r="J38" s="7" t="s">
        <v>55</v>
      </c>
    </row>
    <row r="39" spans="1:293">
      <c r="I39" s="18"/>
      <c r="J39" s="7"/>
    </row>
    <row r="40" spans="1:293" ht="15.75">
      <c r="I40" s="60">
        <f>((43560/(I36*I38))*(I32*I34))/325851/3.785</f>
        <v>1.2714679866790182</v>
      </c>
      <c r="J40" s="45" t="s">
        <v>60</v>
      </c>
    </row>
    <row r="41" spans="1:293" ht="15.75">
      <c r="I41" s="90"/>
      <c r="J41" s="45"/>
    </row>
    <row r="42" spans="1:293" ht="26.25">
      <c r="D42" s="75" t="s">
        <v>100</v>
      </c>
      <c r="I42" s="90"/>
      <c r="J42" s="45"/>
    </row>
    <row r="43" spans="1:293" ht="15.75">
      <c r="I43" s="90"/>
      <c r="J43" s="45"/>
    </row>
    <row r="45" spans="1:293" s="59" customFormat="1" ht="16.5" thickBot="1">
      <c r="A45" s="44"/>
      <c r="B45" s="115" t="s">
        <v>129</v>
      </c>
      <c r="C45" s="115"/>
      <c r="D45" s="115"/>
      <c r="E45" s="115"/>
      <c r="F45" s="115"/>
      <c r="G45" s="115"/>
      <c r="H45" s="115"/>
      <c r="I45" s="115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  <c r="IL45" s="44"/>
      <c r="IM45" s="44"/>
      <c r="IN45" s="44"/>
      <c r="IO45" s="44"/>
      <c r="IP45" s="44"/>
      <c r="IQ45" s="44"/>
      <c r="IR45" s="44"/>
      <c r="IS45" s="44"/>
      <c r="IT45" s="44"/>
      <c r="IU45" s="44"/>
      <c r="IV45" s="44"/>
      <c r="IW45" s="44"/>
      <c r="IX45" s="44"/>
      <c r="IY45" s="44"/>
      <c r="IZ45" s="44"/>
      <c r="JA45" s="44"/>
      <c r="JB45" s="44"/>
      <c r="JC45" s="44"/>
      <c r="JD45" s="44"/>
      <c r="JE45" s="44"/>
      <c r="JF45" s="44"/>
      <c r="JG45" s="44"/>
      <c r="JH45" s="44"/>
      <c r="JI45" s="44"/>
      <c r="JJ45" s="44"/>
      <c r="JK45" s="44"/>
      <c r="JL45" s="44"/>
      <c r="JM45" s="44"/>
      <c r="JN45" s="44"/>
      <c r="JO45" s="44"/>
      <c r="JP45" s="44"/>
      <c r="JQ45" s="44"/>
      <c r="JR45" s="44"/>
      <c r="JS45" s="44"/>
      <c r="JT45" s="44"/>
      <c r="JU45" s="44"/>
      <c r="JV45" s="44"/>
      <c r="JW45" s="44"/>
      <c r="JX45" s="44"/>
      <c r="JY45" s="44"/>
      <c r="JZ45" s="44"/>
      <c r="KA45" s="44"/>
      <c r="KB45" s="44"/>
      <c r="KC45" s="44"/>
      <c r="KD45" s="44"/>
      <c r="KE45" s="44"/>
      <c r="KF45" s="44"/>
      <c r="KG45" s="44"/>
    </row>
    <row r="46" spans="1:293" s="44" customFormat="1" ht="16.5" thickTop="1">
      <c r="B46" s="62"/>
      <c r="C46" s="62"/>
      <c r="D46" s="62"/>
      <c r="E46" s="62"/>
      <c r="F46" s="62"/>
      <c r="G46" s="62"/>
      <c r="H46" s="62"/>
      <c r="I46" s="62"/>
    </row>
    <row r="47" spans="1:293">
      <c r="B47" s="17" t="s">
        <v>128</v>
      </c>
      <c r="C47" s="17"/>
      <c r="D47" s="17"/>
      <c r="E47" s="17"/>
      <c r="F47" s="17"/>
      <c r="G47" s="17"/>
      <c r="H47" s="17"/>
      <c r="I47" s="27">
        <v>400</v>
      </c>
      <c r="J47" s="7"/>
    </row>
    <row r="48" spans="1:293">
      <c r="G48" s="7"/>
      <c r="I48" s="18"/>
      <c r="J48" s="7"/>
    </row>
    <row r="49" spans="1:293">
      <c r="B49" s="17" t="s">
        <v>54</v>
      </c>
      <c r="C49" s="17"/>
      <c r="D49" s="17"/>
      <c r="E49" s="17"/>
      <c r="F49" s="17"/>
      <c r="G49" s="63"/>
      <c r="H49" s="17"/>
      <c r="I49" s="27">
        <v>10</v>
      </c>
      <c r="J49" s="7"/>
    </row>
    <row r="50" spans="1:293">
      <c r="I50" s="18"/>
      <c r="J50" s="7"/>
    </row>
    <row r="51" spans="1:293">
      <c r="B51" s="17" t="s">
        <v>56</v>
      </c>
      <c r="C51" s="17"/>
      <c r="D51" s="17"/>
      <c r="E51" s="17"/>
      <c r="F51" s="17"/>
      <c r="G51" s="63"/>
      <c r="H51" s="17"/>
      <c r="I51" s="27">
        <v>6</v>
      </c>
      <c r="J51" s="7"/>
    </row>
    <row r="52" spans="1:293">
      <c r="I52" s="18"/>
      <c r="J52" s="7"/>
    </row>
    <row r="53" spans="1:293" ht="15.75">
      <c r="I53" s="60">
        <f>((43560/(I49*I51))*I47)/325851</f>
        <v>0.89120487584816377</v>
      </c>
      <c r="J53" s="45" t="s">
        <v>60</v>
      </c>
    </row>
    <row r="54" spans="1:293" ht="15.75">
      <c r="I54" s="90"/>
      <c r="J54" s="45"/>
    </row>
    <row r="55" spans="1:293" ht="26.25">
      <c r="D55" s="75" t="s">
        <v>100</v>
      </c>
      <c r="I55" s="90"/>
      <c r="J55" s="45"/>
    </row>
    <row r="56" spans="1:293" ht="15.75">
      <c r="I56" s="90"/>
      <c r="J56" s="45"/>
    </row>
    <row r="58" spans="1:293" s="59" customFormat="1" ht="16.5" thickBot="1">
      <c r="A58" s="44"/>
      <c r="B58" s="115" t="s">
        <v>127</v>
      </c>
      <c r="C58" s="115"/>
      <c r="D58" s="115"/>
      <c r="E58" s="115"/>
      <c r="F58" s="115"/>
      <c r="G58" s="115"/>
      <c r="H58" s="115"/>
      <c r="I58" s="115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  <c r="IU58" s="44"/>
      <c r="IV58" s="44"/>
      <c r="IW58" s="44"/>
      <c r="IX58" s="44"/>
      <c r="IY58" s="44"/>
      <c r="IZ58" s="44"/>
      <c r="JA58" s="44"/>
      <c r="JB58" s="44"/>
      <c r="JC58" s="44"/>
      <c r="JD58" s="44"/>
      <c r="JE58" s="44"/>
      <c r="JF58" s="44"/>
      <c r="JG58" s="44"/>
      <c r="JH58" s="44"/>
      <c r="JI58" s="44"/>
      <c r="JJ58" s="44"/>
      <c r="JK58" s="44"/>
      <c r="JL58" s="44"/>
      <c r="JM58" s="44"/>
      <c r="JN58" s="44"/>
      <c r="JO58" s="44"/>
      <c r="JP58" s="44"/>
      <c r="JQ58" s="44"/>
      <c r="JR58" s="44"/>
      <c r="JS58" s="44"/>
      <c r="JT58" s="44"/>
      <c r="JU58" s="44"/>
      <c r="JV58" s="44"/>
      <c r="JW58" s="44"/>
      <c r="JX58" s="44"/>
      <c r="JY58" s="44"/>
      <c r="JZ58" s="44"/>
      <c r="KA58" s="44"/>
      <c r="KB58" s="44"/>
      <c r="KC58" s="44"/>
      <c r="KD58" s="44"/>
      <c r="KE58" s="44"/>
      <c r="KF58" s="44"/>
      <c r="KG58" s="44"/>
    </row>
    <row r="59" spans="1:293" s="44" customFormat="1" ht="16.5" thickTop="1">
      <c r="B59" s="62"/>
      <c r="C59" s="62"/>
      <c r="D59" s="62"/>
      <c r="E59" s="62"/>
      <c r="F59" s="62"/>
      <c r="G59" s="62"/>
      <c r="H59" s="62"/>
      <c r="I59" s="62"/>
    </row>
    <row r="60" spans="1:293">
      <c r="B60" s="17" t="s">
        <v>57</v>
      </c>
      <c r="C60" s="17"/>
      <c r="D60" s="17"/>
      <c r="E60" s="17"/>
      <c r="F60" s="17"/>
      <c r="G60" s="17"/>
      <c r="H60" s="17"/>
      <c r="I60" s="27">
        <v>400000</v>
      </c>
      <c r="J60" s="7"/>
    </row>
    <row r="61" spans="1:293">
      <c r="G61" s="7"/>
      <c r="I61" s="18"/>
      <c r="J61" s="7"/>
    </row>
    <row r="62" spans="1:293" ht="15.75">
      <c r="I62" s="60">
        <f>I60/325851</f>
        <v>1.2275549254106939</v>
      </c>
      <c r="J62" s="45" t="s">
        <v>60</v>
      </c>
    </row>
  </sheetData>
  <sheetProtection selectLockedCells="1"/>
  <mergeCells count="4">
    <mergeCell ref="B15:I15"/>
    <mergeCell ref="B30:I30"/>
    <mergeCell ref="B45:I45"/>
    <mergeCell ref="B58:I58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Sheet1!$A$1:$A$4</xm:f>
          </x14:formula1>
          <xm:sqref>C9 D9:I9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G12"/>
  <sheetViews>
    <sheetView showGridLines="0" workbookViewId="0">
      <selection activeCell="I10" sqref="I10"/>
    </sheetView>
  </sheetViews>
  <sheetFormatPr defaultRowHeight="15"/>
  <cols>
    <col min="3" max="3" width="32.28515625" bestFit="1" customWidth="1"/>
  </cols>
  <sheetData>
    <row r="2" spans="1:293" s="7" customFormat="1" ht="24" thickBot="1">
      <c r="A2" s="10"/>
      <c r="B2" s="34" t="s">
        <v>147</v>
      </c>
      <c r="C2" s="26"/>
      <c r="D2" s="26"/>
      <c r="E2" s="26"/>
      <c r="F2" s="26"/>
      <c r="G2" s="26"/>
      <c r="H2" s="26"/>
      <c r="I2" s="26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</row>
    <row r="3" spans="1:293" s="7" customFormat="1" ht="24" thickTop="1">
      <c r="A3" s="10"/>
      <c r="B3" s="58"/>
      <c r="C3" s="10"/>
      <c r="D3" s="10"/>
      <c r="E3" s="10"/>
      <c r="F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</row>
    <row r="4" spans="1:293" s="7" customFormat="1" ht="15.6" customHeight="1">
      <c r="A4" s="10"/>
      <c r="B4" s="20" t="s">
        <v>115</v>
      </c>
      <c r="F4" s="18"/>
      <c r="H4" s="49"/>
      <c r="I4" s="31"/>
      <c r="J4" s="61"/>
      <c r="K4" s="61"/>
      <c r="L4" s="61"/>
      <c r="M4" s="61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</row>
    <row r="5" spans="1:293" s="7" customFormat="1" ht="15.75">
      <c r="A5" s="10"/>
      <c r="B5" s="20" t="s">
        <v>114</v>
      </c>
      <c r="F5" s="18"/>
      <c r="H5" s="49"/>
      <c r="I5" s="28"/>
      <c r="J5" s="61"/>
      <c r="K5" s="61"/>
      <c r="L5" s="61"/>
      <c r="M5" s="61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</row>
    <row r="8" spans="1:293" ht="15.75">
      <c r="B8" s="17" t="s">
        <v>141</v>
      </c>
      <c r="C8" s="17"/>
      <c r="D8" s="17"/>
      <c r="E8" s="17"/>
      <c r="F8" s="17"/>
      <c r="G8" s="17"/>
      <c r="H8" s="19"/>
      <c r="I8" s="27">
        <v>55</v>
      </c>
      <c r="J8" s="83" t="s">
        <v>143</v>
      </c>
    </row>
    <row r="10" spans="1:293" ht="15.75">
      <c r="B10" s="17" t="s">
        <v>148</v>
      </c>
      <c r="C10" s="17"/>
      <c r="D10" s="17"/>
      <c r="E10" s="17"/>
      <c r="F10" s="17"/>
      <c r="G10" s="17"/>
      <c r="H10" s="19"/>
      <c r="I10" s="27">
        <v>10</v>
      </c>
      <c r="J10" s="83" t="s">
        <v>132</v>
      </c>
    </row>
    <row r="12" spans="1:293" ht="15.75">
      <c r="B12" s="17" t="s">
        <v>142</v>
      </c>
      <c r="C12" s="17"/>
      <c r="D12" s="17"/>
      <c r="E12" s="17"/>
      <c r="F12" s="17"/>
      <c r="G12" s="17"/>
      <c r="H12" s="19"/>
      <c r="I12" s="89">
        <f>I8*60*I10/325851</f>
        <v>0.10127328134638225</v>
      </c>
      <c r="J12" s="38" t="s">
        <v>154</v>
      </c>
    </row>
  </sheetData>
  <sheetProtection sheet="1" objects="1" scenarios="1" selectLockedCells="1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Q172"/>
  <sheetViews>
    <sheetView showGridLines="0" zoomScaleNormal="100" workbookViewId="0">
      <selection activeCell="F19" sqref="F19"/>
    </sheetView>
  </sheetViews>
  <sheetFormatPr defaultColWidth="9.140625" defaultRowHeight="15"/>
  <cols>
    <col min="1" max="1" width="9.140625" style="7"/>
    <col min="2" max="3" width="8.85546875" style="7"/>
    <col min="4" max="4" width="16.7109375" style="7" customWidth="1"/>
    <col min="5" max="5" width="45.28515625" style="7" customWidth="1"/>
    <col min="6" max="11" width="8.85546875" style="7" customWidth="1"/>
    <col min="12" max="16384" width="9.140625" style="7"/>
  </cols>
  <sheetData>
    <row r="2" spans="2:17" ht="24" thickBot="1">
      <c r="B2" s="34" t="s">
        <v>3</v>
      </c>
      <c r="C2" s="26"/>
      <c r="D2" s="26"/>
      <c r="E2" s="26"/>
      <c r="F2" s="26"/>
    </row>
    <row r="3" spans="2:17" ht="16.149999999999999" customHeight="1" thickTop="1">
      <c r="I3" s="49"/>
      <c r="J3" s="49"/>
      <c r="K3" s="49"/>
      <c r="L3" s="49"/>
      <c r="M3" s="49"/>
    </row>
    <row r="4" spans="2:17" ht="15.6" customHeight="1">
      <c r="B4" s="20" t="s">
        <v>115</v>
      </c>
      <c r="F4" s="31"/>
      <c r="H4" s="49"/>
      <c r="I4" s="49"/>
      <c r="J4" s="49"/>
      <c r="K4" s="49"/>
      <c r="L4" s="49"/>
      <c r="M4" s="49"/>
    </row>
    <row r="5" spans="2:17" ht="15.75">
      <c r="B5" s="20" t="s">
        <v>114</v>
      </c>
      <c r="F5" s="28"/>
      <c r="H5" s="49"/>
      <c r="I5" s="49"/>
      <c r="J5" s="49"/>
      <c r="K5" s="49"/>
      <c r="L5" s="49"/>
      <c r="M5" s="49"/>
    </row>
    <row r="6" spans="2:17" ht="15.75">
      <c r="B6" s="20"/>
      <c r="F6" s="18"/>
      <c r="H6" s="49"/>
      <c r="I6" s="49"/>
      <c r="J6" s="49"/>
      <c r="K6" s="49"/>
      <c r="L6" s="49"/>
      <c r="M6" s="49"/>
    </row>
    <row r="7" spans="2:17" ht="15.75">
      <c r="H7" s="49"/>
      <c r="I7" s="49"/>
      <c r="J7" s="49"/>
      <c r="K7" s="49"/>
      <c r="L7" s="49"/>
      <c r="M7" s="49"/>
    </row>
    <row r="8" spans="2:17" ht="18" customHeight="1">
      <c r="B8" s="35" t="s">
        <v>4</v>
      </c>
      <c r="C8" s="17"/>
      <c r="D8" s="17"/>
      <c r="E8" s="17"/>
      <c r="F8" s="93">
        <f>'Irrigation (14.2.1)'!I11</f>
        <v>1.3368073137722456</v>
      </c>
      <c r="G8" s="38" t="s">
        <v>60</v>
      </c>
      <c r="H8" s="119" t="str">
        <f>IF(F8&gt;1.3,"For 14.2.1 Irrigation
It appears your response falls outside of historical responses. It could be appropriate but please confirm your calculation/response.
Average response = 0.7 ac-ft/ac
90% of responses are &lt; 1.3 ac-ft/ac
","")</f>
        <v xml:space="preserve">For 14.2.1 Irrigation
It appears your response falls outside of historical responses. It could be appropriate but please confirm your calculation/response.
Average response = 0.7 ac-ft/ac
90% of responses are &lt; 1.3 ac-ft/ac
</v>
      </c>
      <c r="I8" s="119"/>
      <c r="J8" s="119"/>
      <c r="K8" s="119"/>
      <c r="L8" s="119"/>
      <c r="M8" s="119"/>
      <c r="N8" s="119"/>
      <c r="O8" s="102"/>
      <c r="P8" s="102"/>
      <c r="Q8" s="102"/>
    </row>
    <row r="9" spans="2:17" ht="15.75">
      <c r="H9" s="119"/>
      <c r="I9" s="119"/>
      <c r="J9" s="119"/>
      <c r="K9" s="119"/>
      <c r="L9" s="119"/>
      <c r="M9" s="119"/>
      <c r="N9" s="119"/>
      <c r="O9" s="102"/>
      <c r="P9" s="102"/>
      <c r="Q9" s="102"/>
    </row>
    <row r="10" spans="2:17" ht="40.9" customHeight="1">
      <c r="B10" s="117" t="s">
        <v>145</v>
      </c>
      <c r="C10" s="117"/>
      <c r="D10" s="117"/>
      <c r="E10" s="117"/>
      <c r="F10" s="117"/>
      <c r="G10" s="117"/>
      <c r="H10" s="119"/>
      <c r="I10" s="119"/>
      <c r="J10" s="119"/>
      <c r="K10" s="119"/>
      <c r="L10" s="119"/>
      <c r="M10" s="119"/>
      <c r="N10" s="119"/>
      <c r="O10" s="102"/>
      <c r="P10" s="102"/>
      <c r="Q10" s="102"/>
    </row>
    <row r="11" spans="2:17" ht="15.75">
      <c r="H11" s="119"/>
      <c r="I11" s="119"/>
      <c r="J11" s="119"/>
      <c r="K11" s="119"/>
      <c r="L11" s="119"/>
      <c r="M11" s="119"/>
      <c r="N11" s="119"/>
      <c r="O11" s="102"/>
      <c r="P11" s="102"/>
      <c r="Q11" s="102"/>
    </row>
    <row r="12" spans="2:17" ht="15.75">
      <c r="H12" s="119"/>
      <c r="I12" s="119"/>
      <c r="J12" s="119"/>
      <c r="K12" s="119"/>
      <c r="L12" s="119"/>
      <c r="M12" s="119"/>
      <c r="N12" s="119"/>
      <c r="O12" s="102"/>
      <c r="P12" s="102"/>
      <c r="Q12" s="102"/>
    </row>
    <row r="13" spans="2:17" ht="18">
      <c r="B13" s="35" t="s">
        <v>5</v>
      </c>
      <c r="C13" s="17"/>
      <c r="D13" s="17"/>
      <c r="E13" s="19"/>
      <c r="F13" s="93">
        <f>'Frost Water (14.2.2)'!I12</f>
        <v>0.10127328134638225</v>
      </c>
      <c r="G13" s="38" t="s">
        <v>60</v>
      </c>
      <c r="H13" s="116"/>
      <c r="I13" s="116"/>
      <c r="J13" s="116"/>
      <c r="K13" s="116"/>
      <c r="L13" s="116"/>
      <c r="M13" s="116"/>
      <c r="N13" s="116"/>
      <c r="O13" s="116"/>
      <c r="P13" s="116"/>
      <c r="Q13" s="116"/>
    </row>
    <row r="14" spans="2:17"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2:17" ht="40.9" customHeight="1">
      <c r="B15" s="117" t="s">
        <v>146</v>
      </c>
      <c r="C15" s="117"/>
      <c r="D15" s="117"/>
      <c r="E15" s="117"/>
      <c r="F15" s="117"/>
      <c r="G15" s="117"/>
      <c r="H15" s="116"/>
      <c r="I15" s="116"/>
      <c r="J15" s="116"/>
      <c r="K15" s="116"/>
      <c r="L15" s="116"/>
      <c r="M15" s="116"/>
      <c r="N15" s="116"/>
      <c r="O15" s="116"/>
      <c r="P15" s="116"/>
      <c r="Q15" s="116"/>
    </row>
    <row r="16" spans="2:17"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8" spans="2:13" ht="18">
      <c r="B18" s="35" t="s">
        <v>6</v>
      </c>
      <c r="C18" s="17"/>
      <c r="D18" s="17"/>
      <c r="E18" s="17"/>
      <c r="F18" s="86">
        <v>10</v>
      </c>
      <c r="G18" s="83" t="s">
        <v>61</v>
      </c>
    </row>
    <row r="19" spans="2:13" ht="15.75">
      <c r="F19" s="43">
        <f>F18/12</f>
        <v>0.83333333333333337</v>
      </c>
      <c r="G19" s="38" t="s">
        <v>60</v>
      </c>
    </row>
    <row r="20" spans="2:13">
      <c r="F20" s="18"/>
    </row>
    <row r="21" spans="2:13" ht="40.9" customHeight="1">
      <c r="B21" s="118" t="s">
        <v>62</v>
      </c>
      <c r="C21" s="118"/>
      <c r="D21" s="118"/>
      <c r="E21" s="118"/>
      <c r="F21" s="118"/>
      <c r="G21" s="118"/>
      <c r="H21" s="32"/>
      <c r="I21" s="32"/>
      <c r="J21" s="32"/>
      <c r="K21" s="32"/>
      <c r="L21" s="32"/>
      <c r="M21" s="32"/>
    </row>
    <row r="22" spans="2:13" ht="14.45" customHeight="1">
      <c r="B22" s="33"/>
      <c r="C22" s="33"/>
      <c r="D22" s="33"/>
      <c r="E22" s="33"/>
      <c r="F22" s="33"/>
      <c r="G22" s="33"/>
      <c r="H22" s="32"/>
      <c r="I22" s="32"/>
      <c r="J22" s="32"/>
      <c r="K22" s="32"/>
      <c r="L22" s="32"/>
      <c r="M22" s="32"/>
    </row>
    <row r="23" spans="2:13">
      <c r="B23" s="7" t="s">
        <v>63</v>
      </c>
    </row>
    <row r="26" spans="2:13" ht="15.75">
      <c r="F26" s="52">
        <f>F19+F13+F8</f>
        <v>2.2714139284519614</v>
      </c>
      <c r="G26" s="55" t="s">
        <v>113</v>
      </c>
    </row>
    <row r="71" spans="2:2">
      <c r="B71" s="7" t="s">
        <v>9</v>
      </c>
    </row>
    <row r="72" spans="2:2">
      <c r="B72" s="7" t="s">
        <v>0</v>
      </c>
    </row>
    <row r="75" spans="2:2">
      <c r="B75" s="7" t="s">
        <v>10</v>
      </c>
    </row>
    <row r="77" spans="2:2">
      <c r="B77" s="7" t="s">
        <v>11</v>
      </c>
    </row>
    <row r="79" spans="2:2">
      <c r="B79" s="7" t="s">
        <v>12</v>
      </c>
    </row>
    <row r="80" spans="2:2">
      <c r="B80" s="7" t="s">
        <v>8</v>
      </c>
    </row>
    <row r="82" spans="2:2">
      <c r="B82" s="7" t="s">
        <v>13</v>
      </c>
    </row>
    <row r="84" spans="2:2">
      <c r="B84" s="7" t="s">
        <v>14</v>
      </c>
    </row>
    <row r="85" spans="2:2">
      <c r="B85" s="7" t="s">
        <v>15</v>
      </c>
    </row>
    <row r="87" spans="2:2">
      <c r="B87" s="7" t="s">
        <v>16</v>
      </c>
    </row>
    <row r="89" spans="2:2">
      <c r="B89" s="7" t="s">
        <v>17</v>
      </c>
    </row>
    <row r="91" spans="2:2">
      <c r="B91" s="7" t="s">
        <v>18</v>
      </c>
    </row>
    <row r="93" spans="2:2">
      <c r="B93" s="7" t="s">
        <v>19</v>
      </c>
    </row>
    <row r="94" spans="2:2">
      <c r="B94" s="7" t="s">
        <v>20</v>
      </c>
    </row>
    <row r="96" spans="2:2">
      <c r="B96" s="7" t="s">
        <v>21</v>
      </c>
    </row>
    <row r="98" spans="2:2">
      <c r="B98" s="7" t="s">
        <v>22</v>
      </c>
    </row>
    <row r="100" spans="2:2">
      <c r="B100" s="7" t="s">
        <v>23</v>
      </c>
    </row>
    <row r="101" spans="2:2">
      <c r="B101" s="7" t="s">
        <v>24</v>
      </c>
    </row>
    <row r="103" spans="2:2">
      <c r="B103" s="7" t="s">
        <v>25</v>
      </c>
    </row>
    <row r="104" spans="2:2">
      <c r="B104" s="7" t="s">
        <v>26</v>
      </c>
    </row>
    <row r="106" spans="2:2">
      <c r="B106" s="7" t="s">
        <v>27</v>
      </c>
    </row>
    <row r="107" spans="2:2">
      <c r="B107" s="7" t="s">
        <v>28</v>
      </c>
    </row>
    <row r="109" spans="2:2">
      <c r="B109" s="7" t="s">
        <v>29</v>
      </c>
    </row>
    <row r="111" spans="2:2">
      <c r="B111" s="7" t="s">
        <v>30</v>
      </c>
    </row>
    <row r="112" spans="2:2">
      <c r="B112" s="7" t="s">
        <v>31</v>
      </c>
    </row>
    <row r="121" spans="2:2">
      <c r="B121" s="7" t="s">
        <v>32</v>
      </c>
    </row>
    <row r="122" spans="2:2">
      <c r="B122" s="7" t="s">
        <v>0</v>
      </c>
    </row>
    <row r="127" spans="2:2">
      <c r="B127" s="7" t="s">
        <v>2</v>
      </c>
    </row>
    <row r="130" spans="2:2">
      <c r="B130" s="7" t="s">
        <v>33</v>
      </c>
    </row>
    <row r="132" spans="2:2">
      <c r="B132" s="7" t="s">
        <v>34</v>
      </c>
    </row>
    <row r="134" spans="2:2">
      <c r="B134" s="7" t="s">
        <v>35</v>
      </c>
    </row>
    <row r="135" spans="2:2">
      <c r="B135" s="7" t="s">
        <v>36</v>
      </c>
    </row>
    <row r="136" spans="2:2">
      <c r="B136" s="7" t="s">
        <v>8</v>
      </c>
    </row>
    <row r="138" spans="2:2">
      <c r="B138" s="7" t="s">
        <v>37</v>
      </c>
    </row>
    <row r="140" spans="2:2">
      <c r="B140" s="7" t="s">
        <v>38</v>
      </c>
    </row>
    <row r="142" spans="2:2">
      <c r="B142" s="7" t="s">
        <v>39</v>
      </c>
    </row>
    <row r="144" spans="2:2">
      <c r="B144" s="7" t="s">
        <v>40</v>
      </c>
    </row>
    <row r="145" spans="2:2">
      <c r="B145" s="7" t="s">
        <v>41</v>
      </c>
    </row>
    <row r="147" spans="2:2">
      <c r="B147" s="7" t="s">
        <v>42</v>
      </c>
    </row>
    <row r="148" spans="2:2">
      <c r="B148" s="7" t="s">
        <v>43</v>
      </c>
    </row>
    <row r="150" spans="2:2">
      <c r="B150" s="7" t="s">
        <v>44</v>
      </c>
    </row>
    <row r="152" spans="2:2">
      <c r="B152" s="7" t="s">
        <v>45</v>
      </c>
    </row>
    <row r="154" spans="2:2">
      <c r="B154" s="7" t="s">
        <v>46</v>
      </c>
    </row>
    <row r="156" spans="2:2">
      <c r="B156" s="7" t="s">
        <v>47</v>
      </c>
    </row>
    <row r="158" spans="2:2">
      <c r="B158" s="7" t="s">
        <v>48</v>
      </c>
    </row>
    <row r="165" spans="2:2">
      <c r="B165" s="7" t="s">
        <v>2</v>
      </c>
    </row>
    <row r="172" spans="2:2">
      <c r="B172" s="7" t="s">
        <v>49</v>
      </c>
    </row>
  </sheetData>
  <sheetProtection selectLockedCells="1"/>
  <mergeCells count="5">
    <mergeCell ref="H13:Q16"/>
    <mergeCell ref="B10:G10"/>
    <mergeCell ref="B15:G15"/>
    <mergeCell ref="B21:G21"/>
    <mergeCell ref="H8:N12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39"/>
  <sheetViews>
    <sheetView showGridLines="0" topLeftCell="A10" zoomScaleNormal="100" workbookViewId="0">
      <selection activeCell="F33" sqref="F33"/>
    </sheetView>
  </sheetViews>
  <sheetFormatPr defaultRowHeight="15"/>
  <cols>
    <col min="2" max="2" width="14.7109375" style="56" customWidth="1"/>
    <col min="3" max="3" width="34.42578125" style="56" customWidth="1"/>
    <col min="4" max="4" width="9.28515625" style="56" customWidth="1"/>
    <col min="5" max="5" width="19.7109375" style="56" customWidth="1"/>
    <col min="6" max="6" width="9.140625" style="56" customWidth="1"/>
    <col min="7" max="9" width="8.85546875" style="56"/>
  </cols>
  <sheetData>
    <row r="2" spans="2:9" s="7" customFormat="1" ht="24" thickBot="1">
      <c r="B2" s="34" t="s">
        <v>136</v>
      </c>
      <c r="C2" s="26"/>
      <c r="D2" s="26"/>
      <c r="E2" s="26"/>
      <c r="F2" s="26"/>
    </row>
    <row r="3" spans="2:9" s="7" customFormat="1" ht="15.75" customHeight="1" thickTop="1">
      <c r="B3" s="58"/>
      <c r="C3" s="10"/>
      <c r="D3" s="10"/>
      <c r="E3" s="10"/>
      <c r="F3" s="10"/>
    </row>
    <row r="4" spans="2:9" s="7" customFormat="1">
      <c r="B4" s="20" t="s">
        <v>155</v>
      </c>
      <c r="F4" s="92"/>
    </row>
    <row r="5" spans="2:9" s="7" customFormat="1">
      <c r="B5" s="20" t="s">
        <v>115</v>
      </c>
      <c r="F5" s="31"/>
    </row>
    <row r="6" spans="2:9" s="7" customFormat="1">
      <c r="B6" s="20" t="s">
        <v>156</v>
      </c>
      <c r="F6" s="94"/>
    </row>
    <row r="7" spans="2:9" s="7" customFormat="1">
      <c r="B7" s="20" t="s">
        <v>114</v>
      </c>
      <c r="F7" s="28"/>
    </row>
    <row r="8" spans="2:9" s="7" customFormat="1" ht="23.25">
      <c r="B8" s="58"/>
      <c r="C8" s="10"/>
      <c r="D8" s="10"/>
      <c r="E8" s="10"/>
      <c r="F8" s="10"/>
    </row>
    <row r="9" spans="2:9" s="21" customFormat="1" ht="18.75" thickBot="1">
      <c r="B9" s="120" t="s">
        <v>102</v>
      </c>
      <c r="C9" s="120"/>
      <c r="D9" s="120"/>
      <c r="E9" s="120"/>
      <c r="F9" s="120"/>
    </row>
    <row r="10" spans="2:9" s="7" customFormat="1" ht="16.5" thickTop="1">
      <c r="B10" s="65"/>
      <c r="C10" s="67" t="s">
        <v>103</v>
      </c>
      <c r="D10" s="66"/>
    </row>
    <row r="11" spans="2:9" s="7" customFormat="1" ht="15.75">
      <c r="B11" s="68" t="s">
        <v>104</v>
      </c>
      <c r="C11" s="98">
        <v>1.7</v>
      </c>
      <c r="D11" s="69" t="s">
        <v>117</v>
      </c>
    </row>
    <row r="12" spans="2:9" s="7" customFormat="1" ht="15.75">
      <c r="B12" s="68"/>
      <c r="C12" s="70"/>
      <c r="D12" s="71"/>
      <c r="I12" s="66"/>
    </row>
    <row r="13" spans="2:9" s="7" customFormat="1" ht="14.45" customHeight="1">
      <c r="B13" s="68" t="s">
        <v>105</v>
      </c>
      <c r="C13" s="99">
        <v>900</v>
      </c>
      <c r="D13" s="68" t="s">
        <v>137</v>
      </c>
      <c r="E13" s="72"/>
      <c r="F13" s="73"/>
      <c r="I13" s="67"/>
    </row>
    <row r="14" spans="2:9" s="7" customFormat="1">
      <c r="I14" s="70"/>
    </row>
    <row r="15" spans="2:9" s="7" customFormat="1" ht="47.25">
      <c r="C15" s="74" t="s">
        <v>138</v>
      </c>
      <c r="D15" s="74" t="s">
        <v>118</v>
      </c>
      <c r="I15" s="70"/>
    </row>
    <row r="16" spans="2:9" s="7" customFormat="1">
      <c r="C16" s="96">
        <f>C13*C11/100</f>
        <v>15.3</v>
      </c>
      <c r="D16" s="96">
        <f>C11*20</f>
        <v>34</v>
      </c>
      <c r="I16" s="73"/>
    </row>
    <row r="17" spans="2:10" s="7" customFormat="1">
      <c r="C17" s="77"/>
      <c r="D17" s="77"/>
      <c r="I17" s="73"/>
    </row>
    <row r="18" spans="2:10" s="7" customFormat="1"/>
    <row r="19" spans="2:10" s="7" customFormat="1" ht="16.5" thickBot="1">
      <c r="B19" s="115" t="s">
        <v>119</v>
      </c>
      <c r="C19" s="115"/>
      <c r="D19" s="115"/>
      <c r="E19" s="115"/>
      <c r="F19" s="115"/>
    </row>
    <row r="20" spans="2:10" s="7" customFormat="1" ht="16.5" thickTop="1">
      <c r="B20" s="39"/>
    </row>
    <row r="21" spans="2:10" s="7" customFormat="1" ht="15.75">
      <c r="B21" s="17" t="s">
        <v>120</v>
      </c>
      <c r="C21" s="17"/>
      <c r="D21" s="17"/>
      <c r="E21" s="17"/>
      <c r="F21" s="100">
        <v>0</v>
      </c>
      <c r="G21" s="39" t="s">
        <v>87</v>
      </c>
    </row>
    <row r="22" spans="2:10" s="7" customFormat="1" ht="15.75">
      <c r="F22" s="76"/>
      <c r="G22" s="39"/>
    </row>
    <row r="23" spans="2:10" s="7" customFormat="1" ht="18">
      <c r="B23" s="17" t="s">
        <v>139</v>
      </c>
      <c r="C23" s="17"/>
      <c r="D23" s="17"/>
      <c r="E23" s="17"/>
      <c r="F23" s="94">
        <f>(C16*F21)/100</f>
        <v>0</v>
      </c>
      <c r="G23" s="83" t="s">
        <v>150</v>
      </c>
    </row>
    <row r="24" spans="2:10" s="7" customFormat="1">
      <c r="F24" s="10"/>
      <c r="G24" s="83"/>
    </row>
    <row r="25" spans="2:10" s="7" customFormat="1" ht="18">
      <c r="B25" s="17" t="s">
        <v>106</v>
      </c>
      <c r="C25" s="17"/>
      <c r="D25" s="17"/>
      <c r="E25" s="17"/>
      <c r="F25" s="27">
        <v>8</v>
      </c>
      <c r="G25" s="83" t="s">
        <v>151</v>
      </c>
    </row>
    <row r="26" spans="2:10" s="7" customFormat="1" ht="15.75">
      <c r="F26" s="10"/>
      <c r="G26" s="39"/>
    </row>
    <row r="27" spans="2:10" s="7" customFormat="1" ht="14.45" customHeight="1">
      <c r="B27" s="17" t="s">
        <v>121</v>
      </c>
      <c r="C27" s="17"/>
      <c r="D27" s="17"/>
      <c r="E27" s="17"/>
      <c r="F27" s="95">
        <f>F23*F25</f>
        <v>0</v>
      </c>
      <c r="G27" s="39" t="s">
        <v>122</v>
      </c>
    </row>
    <row r="28" spans="2:10" s="7" customFormat="1" ht="14.45" customHeight="1">
      <c r="G28" s="39"/>
      <c r="I28" s="39" t="str">
        <f>IF(AND(F27&gt;0,F39&gt;0),"Please choose one method or the other.","")</f>
        <v/>
      </c>
    </row>
    <row r="29" spans="2:10" s="7" customFormat="1" ht="26.25">
      <c r="C29" s="91" t="s">
        <v>100</v>
      </c>
      <c r="G29" s="39"/>
    </row>
    <row r="30" spans="2:10" s="7" customFormat="1" ht="14.45" customHeight="1">
      <c r="G30" s="39"/>
      <c r="I30" s="87">
        <f>IF(I28="",MAX(F27,F39),"")</f>
        <v>51</v>
      </c>
      <c r="J30" s="39" t="s">
        <v>152</v>
      </c>
    </row>
    <row r="31" spans="2:10" s="7" customFormat="1" ht="15.75" customHeight="1" thickBot="1">
      <c r="B31" s="115" t="s">
        <v>123</v>
      </c>
      <c r="C31" s="115"/>
      <c r="D31" s="115"/>
      <c r="E31" s="115"/>
      <c r="F31" s="115"/>
      <c r="G31" s="39"/>
    </row>
    <row r="32" spans="2:10" s="7" customFormat="1" ht="15.75" customHeight="1" thickTop="1">
      <c r="B32" s="39"/>
      <c r="G32" s="39"/>
      <c r="I32" s="10"/>
      <c r="J32" s="39"/>
    </row>
    <row r="33" spans="2:7" s="7" customFormat="1" ht="15.75">
      <c r="B33" s="17" t="s">
        <v>120</v>
      </c>
      <c r="C33" s="17"/>
      <c r="D33" s="17"/>
      <c r="E33" s="17"/>
      <c r="F33" s="27">
        <v>30</v>
      </c>
      <c r="G33" s="39" t="s">
        <v>87</v>
      </c>
    </row>
    <row r="34" spans="2:7" s="7" customFormat="1" ht="15.75">
      <c r="F34" s="10"/>
      <c r="G34" s="39"/>
    </row>
    <row r="35" spans="2:7" s="7" customFormat="1">
      <c r="B35" s="17" t="s">
        <v>124</v>
      </c>
      <c r="C35" s="17"/>
      <c r="D35" s="17"/>
      <c r="E35" s="17"/>
      <c r="F35" s="94">
        <f>D16*F33/100</f>
        <v>10.199999999999999</v>
      </c>
      <c r="G35" s="83" t="s">
        <v>125</v>
      </c>
    </row>
    <row r="36" spans="2:7" s="7" customFormat="1">
      <c r="F36" s="10"/>
      <c r="G36" s="83"/>
    </row>
    <row r="37" spans="2:7" s="7" customFormat="1">
      <c r="B37" s="17" t="s">
        <v>107</v>
      </c>
      <c r="C37" s="17"/>
      <c r="D37" s="17"/>
      <c r="E37" s="17"/>
      <c r="F37" s="27">
        <v>5</v>
      </c>
      <c r="G37" s="83" t="s">
        <v>126</v>
      </c>
    </row>
    <row r="38" spans="2:7" s="7" customFormat="1" ht="15.75">
      <c r="F38" s="10"/>
      <c r="G38" s="39"/>
    </row>
    <row r="39" spans="2:7" s="7" customFormat="1" ht="15.75">
      <c r="B39" s="17" t="s">
        <v>121</v>
      </c>
      <c r="C39" s="17"/>
      <c r="D39" s="17"/>
      <c r="E39" s="17"/>
      <c r="F39" s="95">
        <f>F35*F37</f>
        <v>51</v>
      </c>
      <c r="G39" s="39" t="s">
        <v>122</v>
      </c>
    </row>
  </sheetData>
  <sheetProtection sheet="1" objects="1" scenarios="1" selectLockedCells="1"/>
  <mergeCells count="3">
    <mergeCell ref="B19:F19"/>
    <mergeCell ref="B31:F31"/>
    <mergeCell ref="B9:F9"/>
  </mergeCells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G91"/>
  <sheetViews>
    <sheetView showGridLines="0" topLeftCell="A37" zoomScale="90" zoomScaleNormal="90" workbookViewId="0">
      <selection activeCell="K36" sqref="K36:Q49"/>
    </sheetView>
  </sheetViews>
  <sheetFormatPr defaultRowHeight="15"/>
  <cols>
    <col min="2" max="2" width="18.42578125" customWidth="1"/>
    <col min="3" max="3" width="19.140625" customWidth="1"/>
    <col min="4" max="4" width="8.7109375" customWidth="1"/>
    <col min="8" max="8" width="12.7109375" customWidth="1"/>
    <col min="9" max="9" width="9.140625" customWidth="1"/>
    <col min="10" max="10" width="13.85546875" customWidth="1"/>
  </cols>
  <sheetData>
    <row r="2" spans="2:23" ht="23.25" customHeight="1" thickBot="1">
      <c r="B2" s="6" t="s">
        <v>7</v>
      </c>
      <c r="C2" s="5"/>
      <c r="D2" s="4"/>
      <c r="E2" s="4"/>
      <c r="F2" s="4"/>
      <c r="G2" s="4"/>
      <c r="H2" s="4"/>
      <c r="I2" s="4"/>
      <c r="J2" s="4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</row>
    <row r="3" spans="2:23" s="7" customFormat="1" ht="16.5" thickTop="1">
      <c r="B3" s="8"/>
      <c r="C3" s="8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10"/>
      <c r="U3" s="10"/>
      <c r="V3" s="10"/>
      <c r="W3" s="10"/>
    </row>
    <row r="4" spans="2:23" s="7" customFormat="1" ht="15.75">
      <c r="B4" s="11"/>
      <c r="C4" s="12"/>
      <c r="D4" s="12"/>
      <c r="E4" s="12"/>
      <c r="F4" s="13"/>
      <c r="G4" s="13"/>
      <c r="H4" s="13"/>
      <c r="I4" s="13"/>
      <c r="J4" s="13"/>
      <c r="K4" s="13"/>
      <c r="L4" s="14"/>
      <c r="M4" s="14"/>
      <c r="N4" s="14"/>
      <c r="O4" s="14"/>
      <c r="P4" s="14"/>
      <c r="Q4" s="14"/>
      <c r="R4" s="14"/>
      <c r="S4" s="14"/>
      <c r="T4" s="10"/>
      <c r="U4" s="10"/>
      <c r="V4" s="10"/>
      <c r="W4" s="10"/>
    </row>
    <row r="5" spans="2:23" s="7" customFormat="1">
      <c r="B5" s="20" t="s">
        <v>115</v>
      </c>
      <c r="C5" s="15"/>
      <c r="D5" s="16"/>
      <c r="E5" s="16"/>
      <c r="G5" s="9"/>
      <c r="H5" s="9"/>
      <c r="I5" s="31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10"/>
      <c r="V5" s="10"/>
      <c r="W5" s="10"/>
    </row>
    <row r="6" spans="2:23" s="7" customFormat="1">
      <c r="B6" s="20" t="s">
        <v>114</v>
      </c>
      <c r="C6" s="15"/>
      <c r="D6" s="16"/>
      <c r="E6" s="16"/>
      <c r="G6" s="9"/>
      <c r="H6" s="9"/>
      <c r="I6" s="28"/>
      <c r="J6" s="9"/>
      <c r="K6" s="9"/>
      <c r="L6" s="9"/>
      <c r="M6" s="9"/>
      <c r="N6" s="9"/>
      <c r="O6" s="9"/>
      <c r="P6" s="9"/>
      <c r="Q6" s="9"/>
      <c r="R6" s="9"/>
      <c r="S6" s="9"/>
      <c r="T6" s="10"/>
      <c r="U6" s="10"/>
      <c r="V6" s="10"/>
      <c r="W6" s="10"/>
    </row>
    <row r="7" spans="2:23" s="7" customFormat="1"/>
    <row r="8" spans="2:23" s="7" customFormat="1"/>
    <row r="9" spans="2:23" s="7" customFormat="1" ht="18">
      <c r="B9" s="21" t="s">
        <v>68</v>
      </c>
    </row>
    <row r="10" spans="2:23" s="7" customFormat="1"/>
    <row r="11" spans="2:23" s="82" customFormat="1" ht="16.5" thickBot="1">
      <c r="B11" s="121" t="s">
        <v>184</v>
      </c>
      <c r="C11" s="121"/>
      <c r="D11" s="121"/>
      <c r="E11" s="121"/>
      <c r="F11" s="121"/>
      <c r="G11" s="121"/>
      <c r="H11" s="121"/>
      <c r="I11" s="121"/>
      <c r="J11" s="85"/>
    </row>
    <row r="12" spans="2:23" s="7" customFormat="1" ht="15.75" thickTop="1">
      <c r="B12" s="10"/>
      <c r="C12" s="10"/>
      <c r="D12" s="10"/>
      <c r="E12" s="10"/>
      <c r="F12" s="10"/>
      <c r="G12" s="10"/>
      <c r="H12" s="10"/>
      <c r="I12" s="10"/>
      <c r="J12" s="10"/>
    </row>
    <row r="13" spans="2:23" s="7" customFormat="1" ht="15.75">
      <c r="B13" s="17" t="s">
        <v>99</v>
      </c>
      <c r="C13" s="17"/>
      <c r="D13" s="17"/>
      <c r="E13" s="17"/>
      <c r="F13" s="17"/>
      <c r="G13" s="17"/>
      <c r="H13" s="17"/>
      <c r="I13" s="40">
        <v>15</v>
      </c>
      <c r="J13" s="44" t="s">
        <v>89</v>
      </c>
    </row>
    <row r="14" spans="2:23" s="7" customFormat="1" ht="15.75">
      <c r="B14" s="10"/>
      <c r="C14" s="10"/>
      <c r="D14" s="10"/>
      <c r="E14" s="10"/>
      <c r="F14" s="10"/>
      <c r="G14" s="10"/>
      <c r="H14" s="10"/>
      <c r="I14" s="45"/>
      <c r="J14" s="44"/>
    </row>
    <row r="15" spans="2:23" s="7" customFormat="1" ht="15.75">
      <c r="B15" s="17" t="s">
        <v>64</v>
      </c>
      <c r="C15" s="17"/>
      <c r="D15" s="17"/>
      <c r="E15" s="17"/>
      <c r="F15" s="17"/>
      <c r="G15" s="17"/>
      <c r="H15" s="17"/>
      <c r="I15" s="40">
        <v>8</v>
      </c>
      <c r="J15" s="44" t="s">
        <v>87</v>
      </c>
    </row>
    <row r="16" spans="2:23" s="7" customFormat="1" ht="15.75">
      <c r="B16" s="10"/>
      <c r="C16" s="10"/>
      <c r="D16" s="10"/>
      <c r="E16" s="10"/>
      <c r="F16" s="10"/>
      <c r="G16" s="10"/>
      <c r="H16" s="10"/>
      <c r="I16" s="45"/>
      <c r="J16" s="44"/>
    </row>
    <row r="17" spans="2:11" s="7" customFormat="1" ht="15.75">
      <c r="B17" s="17" t="s">
        <v>66</v>
      </c>
      <c r="C17" s="17"/>
      <c r="D17" s="17"/>
      <c r="E17" s="17"/>
      <c r="F17" s="17"/>
      <c r="G17" s="17"/>
      <c r="H17" s="17"/>
      <c r="I17" s="54">
        <f>I13*(I15/100)</f>
        <v>1.2</v>
      </c>
      <c r="J17" s="44" t="s">
        <v>86</v>
      </c>
    </row>
    <row r="18" spans="2:11" s="7" customFormat="1">
      <c r="B18" s="10"/>
      <c r="C18" s="10"/>
      <c r="D18" s="10"/>
      <c r="E18" s="10"/>
      <c r="F18" s="10"/>
      <c r="G18" s="10"/>
      <c r="H18" s="10"/>
      <c r="I18" s="10"/>
      <c r="J18" s="10"/>
    </row>
    <row r="19" spans="2:11" s="82" customFormat="1" ht="16.5" thickBot="1">
      <c r="B19" s="121" t="s">
        <v>185</v>
      </c>
      <c r="C19" s="121"/>
      <c r="D19" s="121"/>
      <c r="E19" s="121"/>
      <c r="F19" s="121"/>
      <c r="G19" s="121"/>
      <c r="H19" s="121"/>
      <c r="I19" s="121"/>
      <c r="J19" s="85"/>
    </row>
    <row r="20" spans="2:11" s="7" customFormat="1" ht="15.75" thickTop="1">
      <c r="B20" s="10"/>
      <c r="C20" s="10"/>
      <c r="D20" s="10"/>
      <c r="E20" s="10"/>
      <c r="F20" s="10"/>
      <c r="G20" s="10"/>
      <c r="H20" s="10"/>
      <c r="I20" s="10"/>
      <c r="J20" s="10"/>
    </row>
    <row r="21" spans="2:11" s="7" customFormat="1" ht="15.75">
      <c r="B21" s="17" t="s">
        <v>99</v>
      </c>
      <c r="C21" s="17"/>
      <c r="D21" s="17"/>
      <c r="E21" s="17"/>
      <c r="F21" s="17"/>
      <c r="G21" s="17"/>
      <c r="H21" s="17"/>
      <c r="I21" s="40">
        <v>0</v>
      </c>
      <c r="J21" s="44" t="s">
        <v>89</v>
      </c>
    </row>
    <row r="22" spans="2:11" s="7" customFormat="1" ht="15.75">
      <c r="B22" s="10"/>
      <c r="C22" s="10"/>
      <c r="D22" s="10"/>
      <c r="E22" s="10"/>
      <c r="F22" s="10"/>
      <c r="G22" s="10"/>
      <c r="H22" s="10"/>
      <c r="I22" s="45"/>
      <c r="J22" s="44"/>
    </row>
    <row r="23" spans="2:11" s="7" customFormat="1" ht="15.75">
      <c r="B23" s="17" t="s">
        <v>64</v>
      </c>
      <c r="C23" s="17"/>
      <c r="D23" s="17"/>
      <c r="E23" s="17"/>
      <c r="F23" s="17"/>
      <c r="G23" s="17"/>
      <c r="H23" s="17"/>
      <c r="I23" s="40">
        <v>8</v>
      </c>
      <c r="J23" s="44" t="s">
        <v>87</v>
      </c>
    </row>
    <row r="24" spans="2:11" s="7" customFormat="1" ht="15.75">
      <c r="B24" s="10"/>
      <c r="C24" s="10"/>
      <c r="D24" s="10"/>
      <c r="E24" s="10"/>
      <c r="F24" s="10"/>
      <c r="G24" s="10"/>
      <c r="H24" s="10"/>
      <c r="I24" s="45"/>
      <c r="J24" s="44"/>
    </row>
    <row r="25" spans="2:11" s="7" customFormat="1" ht="15.75">
      <c r="B25" s="17" t="s">
        <v>66</v>
      </c>
      <c r="C25" s="17"/>
      <c r="D25" s="17"/>
      <c r="E25" s="17"/>
      <c r="F25" s="17"/>
      <c r="G25" s="17"/>
      <c r="H25" s="17"/>
      <c r="I25" s="54">
        <f>I21*(I23/100)</f>
        <v>0</v>
      </c>
      <c r="J25" s="44" t="s">
        <v>86</v>
      </c>
    </row>
    <row r="26" spans="2:11" s="7" customFormat="1">
      <c r="B26" s="10"/>
      <c r="C26" s="10"/>
      <c r="D26" s="10"/>
      <c r="E26" s="10"/>
      <c r="F26" s="10"/>
      <c r="G26" s="10"/>
      <c r="H26" s="10"/>
      <c r="I26" s="10"/>
      <c r="J26" s="10"/>
    </row>
    <row r="27" spans="2:11" s="82" customFormat="1" ht="16.5" thickBot="1">
      <c r="B27" s="121" t="s">
        <v>186</v>
      </c>
      <c r="C27" s="121"/>
      <c r="D27" s="121"/>
      <c r="E27" s="121"/>
      <c r="F27" s="121"/>
      <c r="G27" s="121"/>
      <c r="H27" s="121"/>
      <c r="I27" s="121"/>
      <c r="J27" s="85"/>
    </row>
    <row r="28" spans="2:11" s="7" customFormat="1" ht="15.75" thickTop="1">
      <c r="B28" s="10"/>
      <c r="C28" s="10"/>
      <c r="D28" s="10"/>
      <c r="E28" s="10"/>
      <c r="F28" s="10"/>
      <c r="G28" s="10"/>
      <c r="H28" s="10"/>
      <c r="I28" s="10"/>
      <c r="J28" s="10"/>
    </row>
    <row r="29" spans="2:11" s="7" customFormat="1" ht="15.75">
      <c r="B29" s="17" t="s">
        <v>69</v>
      </c>
      <c r="C29" s="17"/>
      <c r="D29" s="17"/>
      <c r="E29" s="17"/>
      <c r="F29" s="17"/>
      <c r="G29" s="17"/>
      <c r="H29" s="17"/>
      <c r="I29" s="40">
        <v>20</v>
      </c>
      <c r="J29" s="44" t="s">
        <v>88</v>
      </c>
    </row>
    <row r="30" spans="2:11" s="7" customFormat="1" ht="15.75">
      <c r="B30" s="10"/>
      <c r="C30" s="10"/>
      <c r="D30" s="10"/>
      <c r="E30" s="10"/>
      <c r="F30" s="10"/>
      <c r="G30" s="10"/>
      <c r="H30" s="10"/>
      <c r="I30" s="45"/>
      <c r="J30" s="44"/>
    </row>
    <row r="31" spans="2:11" s="7" customFormat="1" ht="15.75">
      <c r="B31" s="17" t="s">
        <v>64</v>
      </c>
      <c r="C31" s="17"/>
      <c r="D31" s="17"/>
      <c r="E31" s="17"/>
      <c r="F31" s="17"/>
      <c r="G31" s="17"/>
      <c r="H31" s="17"/>
      <c r="I31" s="46">
        <v>10</v>
      </c>
      <c r="J31" s="44" t="s">
        <v>87</v>
      </c>
      <c r="K31" s="10"/>
    </row>
    <row r="32" spans="2:11" s="7" customFormat="1" ht="15.75">
      <c r="B32" s="10"/>
      <c r="C32" s="10"/>
      <c r="D32" s="10"/>
      <c r="E32" s="10"/>
      <c r="F32" s="10"/>
      <c r="G32" s="10"/>
      <c r="H32" s="10"/>
      <c r="I32" s="47"/>
      <c r="J32" s="44"/>
    </row>
    <row r="33" spans="2:17" s="7" customFormat="1" ht="15.75">
      <c r="B33" s="17" t="s">
        <v>65</v>
      </c>
      <c r="C33" s="17"/>
      <c r="D33" s="17"/>
      <c r="E33" s="17"/>
      <c r="F33" s="17"/>
      <c r="G33" s="17"/>
      <c r="H33" s="17"/>
      <c r="I33" s="40">
        <v>11</v>
      </c>
      <c r="J33" s="44" t="s">
        <v>89</v>
      </c>
    </row>
    <row r="34" spans="2:17" s="7" customFormat="1" ht="15.75">
      <c r="B34" s="10"/>
      <c r="C34" s="10"/>
      <c r="D34" s="10"/>
      <c r="E34" s="10"/>
      <c r="F34" s="10"/>
      <c r="G34" s="10"/>
      <c r="H34" s="10"/>
      <c r="I34" s="44"/>
      <c r="J34" s="44"/>
    </row>
    <row r="35" spans="2:17" s="7" customFormat="1" ht="15.75">
      <c r="B35" s="17" t="s">
        <v>67</v>
      </c>
      <c r="C35" s="17"/>
      <c r="D35" s="17"/>
      <c r="E35" s="17"/>
      <c r="F35" s="17"/>
      <c r="G35" s="17"/>
      <c r="H35" s="17"/>
      <c r="I35" s="52">
        <f>I29*I33*(I31/100)</f>
        <v>22</v>
      </c>
      <c r="J35" s="44" t="s">
        <v>86</v>
      </c>
    </row>
    <row r="36" spans="2:17" s="7" customFormat="1" ht="15.75" customHeight="1">
      <c r="B36" s="10"/>
      <c r="C36" s="10"/>
      <c r="D36" s="10"/>
      <c r="E36" s="10"/>
      <c r="F36" s="10"/>
      <c r="G36" s="10"/>
      <c r="H36" s="10"/>
      <c r="I36" s="10"/>
      <c r="J36" s="10"/>
      <c r="K36" s="116" t="str">
        <f>IF(I17&gt;50,"For 14.3.1 Fertilizer
It appears your response falls outside of historical responses. It could be appropriate but please confirm your calculation/response.
Average response = 21.6 Lbs N/ac
90% of responses are &lt; 50.0 Lbs N/ac
","")</f>
        <v/>
      </c>
      <c r="L36" s="116"/>
      <c r="M36" s="116"/>
      <c r="N36" s="116"/>
      <c r="O36" s="116"/>
      <c r="P36" s="116"/>
      <c r="Q36" s="116"/>
    </row>
    <row r="37" spans="2:17" s="82" customFormat="1" ht="16.5" thickBot="1">
      <c r="B37" s="121" t="s">
        <v>187</v>
      </c>
      <c r="C37" s="121"/>
      <c r="D37" s="121"/>
      <c r="E37" s="121"/>
      <c r="F37" s="121"/>
      <c r="G37" s="121"/>
      <c r="H37" s="121"/>
      <c r="I37" s="121"/>
      <c r="J37" s="85"/>
      <c r="K37" s="116"/>
      <c r="L37" s="116"/>
      <c r="M37" s="116"/>
      <c r="N37" s="116"/>
      <c r="O37" s="116"/>
      <c r="P37" s="116"/>
      <c r="Q37" s="116"/>
    </row>
    <row r="38" spans="2:17" s="7" customFormat="1" ht="15.75" thickTop="1">
      <c r="B38" s="10"/>
      <c r="C38" s="10"/>
      <c r="D38" s="10"/>
      <c r="E38" s="10"/>
      <c r="F38" s="10"/>
      <c r="G38" s="10"/>
      <c r="H38" s="10"/>
      <c r="I38" s="10"/>
      <c r="J38" s="10"/>
      <c r="K38" s="116"/>
      <c r="L38" s="116"/>
      <c r="M38" s="116"/>
      <c r="N38" s="116"/>
      <c r="O38" s="116"/>
      <c r="P38" s="116"/>
      <c r="Q38" s="116"/>
    </row>
    <row r="39" spans="2:17" s="7" customFormat="1" ht="15.75">
      <c r="B39" s="17" t="s">
        <v>69</v>
      </c>
      <c r="C39" s="17"/>
      <c r="D39" s="17"/>
      <c r="E39" s="17"/>
      <c r="F39" s="17"/>
      <c r="G39" s="17"/>
      <c r="H39" s="17"/>
      <c r="I39" s="40">
        <v>0</v>
      </c>
      <c r="J39" s="44" t="s">
        <v>88</v>
      </c>
      <c r="K39" s="116"/>
      <c r="L39" s="116"/>
      <c r="M39" s="116"/>
      <c r="N39" s="116"/>
      <c r="O39" s="116"/>
      <c r="P39" s="116"/>
      <c r="Q39" s="116"/>
    </row>
    <row r="40" spans="2:17" s="7" customFormat="1" ht="15.75">
      <c r="B40" s="10"/>
      <c r="C40" s="10"/>
      <c r="D40" s="10"/>
      <c r="E40" s="10"/>
      <c r="F40" s="10"/>
      <c r="G40" s="10"/>
      <c r="H40" s="10"/>
      <c r="I40" s="45"/>
      <c r="J40" s="44"/>
      <c r="K40" s="116"/>
      <c r="L40" s="116"/>
      <c r="M40" s="116"/>
      <c r="N40" s="116"/>
      <c r="O40" s="116"/>
      <c r="P40" s="116"/>
      <c r="Q40" s="116"/>
    </row>
    <row r="41" spans="2:17" s="7" customFormat="1" ht="15.75">
      <c r="B41" s="17" t="s">
        <v>64</v>
      </c>
      <c r="C41" s="17"/>
      <c r="D41" s="17"/>
      <c r="E41" s="17"/>
      <c r="F41" s="17"/>
      <c r="G41" s="17"/>
      <c r="H41" s="17"/>
      <c r="I41" s="46">
        <v>15</v>
      </c>
      <c r="J41" s="44" t="s">
        <v>87</v>
      </c>
      <c r="K41" s="116"/>
      <c r="L41" s="116"/>
      <c r="M41" s="116"/>
      <c r="N41" s="116"/>
      <c r="O41" s="116"/>
      <c r="P41" s="116"/>
      <c r="Q41" s="116"/>
    </row>
    <row r="42" spans="2:17" s="7" customFormat="1" ht="15.75">
      <c r="B42" s="10"/>
      <c r="C42" s="10"/>
      <c r="D42" s="10"/>
      <c r="E42" s="10"/>
      <c r="F42" s="10"/>
      <c r="G42" s="10"/>
      <c r="H42" s="10"/>
      <c r="I42" s="47"/>
      <c r="J42" s="44"/>
      <c r="K42" s="116"/>
      <c r="L42" s="116"/>
      <c r="M42" s="116"/>
      <c r="N42" s="116"/>
      <c r="O42" s="116"/>
      <c r="P42" s="116"/>
      <c r="Q42" s="116"/>
    </row>
    <row r="43" spans="2:17" s="7" customFormat="1" ht="15.75">
      <c r="B43" s="17" t="s">
        <v>65</v>
      </c>
      <c r="C43" s="17"/>
      <c r="D43" s="17"/>
      <c r="E43" s="17"/>
      <c r="F43" s="17"/>
      <c r="G43" s="17"/>
      <c r="H43" s="17"/>
      <c r="I43" s="40">
        <v>11</v>
      </c>
      <c r="J43" s="44" t="s">
        <v>89</v>
      </c>
      <c r="K43" s="116"/>
      <c r="L43" s="116"/>
      <c r="M43" s="116"/>
      <c r="N43" s="116"/>
      <c r="O43" s="116"/>
      <c r="P43" s="116"/>
      <c r="Q43" s="116"/>
    </row>
    <row r="44" spans="2:17" s="7" customFormat="1" ht="15.75">
      <c r="B44" s="10"/>
      <c r="C44" s="10"/>
      <c r="D44" s="10"/>
      <c r="E44" s="10"/>
      <c r="F44" s="10"/>
      <c r="G44" s="10"/>
      <c r="H44" s="10"/>
      <c r="I44" s="44"/>
      <c r="J44" s="44"/>
      <c r="K44" s="116"/>
      <c r="L44" s="116"/>
      <c r="M44" s="116"/>
      <c r="N44" s="116"/>
      <c r="O44" s="116"/>
      <c r="P44" s="116"/>
      <c r="Q44" s="116"/>
    </row>
    <row r="45" spans="2:17" s="7" customFormat="1" ht="15.75">
      <c r="B45" s="17" t="s">
        <v>67</v>
      </c>
      <c r="C45" s="17"/>
      <c r="D45" s="17"/>
      <c r="E45" s="17"/>
      <c r="F45" s="17"/>
      <c r="G45" s="17"/>
      <c r="H45" s="17"/>
      <c r="I45" s="52">
        <f>I39*I43*(I41/100)</f>
        <v>0</v>
      </c>
      <c r="J45" s="44" t="s">
        <v>86</v>
      </c>
      <c r="K45" s="116"/>
      <c r="L45" s="116"/>
      <c r="M45" s="116"/>
      <c r="N45" s="116"/>
      <c r="O45" s="116"/>
      <c r="P45" s="116"/>
      <c r="Q45" s="116"/>
    </row>
    <row r="46" spans="2:17" s="7" customFormat="1" ht="15.75" customHeight="1">
      <c r="B46" s="10"/>
      <c r="C46" s="10"/>
      <c r="D46" s="10"/>
      <c r="E46" s="10"/>
      <c r="F46" s="10"/>
      <c r="G46" s="10"/>
      <c r="H46" s="10"/>
      <c r="I46" s="10"/>
      <c r="J46" s="10"/>
      <c r="K46" s="116"/>
      <c r="L46" s="116"/>
      <c r="M46" s="116"/>
      <c r="N46" s="116"/>
      <c r="O46" s="116"/>
      <c r="P46" s="116"/>
      <c r="Q46" s="116"/>
    </row>
    <row r="47" spans="2:17" s="82" customFormat="1" ht="16.5" customHeight="1" thickBot="1">
      <c r="B47" s="121" t="s">
        <v>157</v>
      </c>
      <c r="C47" s="121"/>
      <c r="D47" s="121"/>
      <c r="E47" s="121"/>
      <c r="F47" s="121"/>
      <c r="G47" s="121"/>
      <c r="H47" s="121"/>
      <c r="I47" s="121"/>
      <c r="J47" s="84"/>
      <c r="K47" s="116"/>
      <c r="L47" s="116"/>
      <c r="M47" s="116"/>
      <c r="N47" s="116"/>
      <c r="O47" s="116"/>
      <c r="P47" s="116"/>
      <c r="Q47" s="116"/>
    </row>
    <row r="48" spans="2:17" s="7" customFormat="1" ht="15.75" thickTop="1">
      <c r="B48" s="10"/>
      <c r="C48" s="10"/>
      <c r="D48" s="10"/>
      <c r="E48" s="10"/>
      <c r="F48" s="10"/>
      <c r="G48" s="10"/>
      <c r="H48" s="10"/>
      <c r="I48" s="18"/>
      <c r="J48" s="10"/>
      <c r="K48" s="116"/>
      <c r="L48" s="116"/>
      <c r="M48" s="116"/>
      <c r="N48" s="116"/>
      <c r="O48" s="116"/>
      <c r="P48" s="116"/>
      <c r="Q48" s="116"/>
    </row>
    <row r="49" spans="2:17" s="7" customFormat="1" ht="15.6" customHeight="1">
      <c r="B49" s="17" t="s">
        <v>74</v>
      </c>
      <c r="C49" s="17"/>
      <c r="D49" s="17"/>
      <c r="E49" s="17"/>
      <c r="F49" s="17"/>
      <c r="G49" s="17"/>
      <c r="H49" s="17"/>
      <c r="I49" s="41">
        <f>I17+I25+I35+I45</f>
        <v>23.2</v>
      </c>
      <c r="J49" s="45" t="s">
        <v>86</v>
      </c>
      <c r="K49" s="116"/>
      <c r="L49" s="116"/>
      <c r="M49" s="116"/>
      <c r="N49" s="116"/>
      <c r="O49" s="116"/>
      <c r="P49" s="116"/>
      <c r="Q49" s="116"/>
    </row>
    <row r="50" spans="2:17" s="7" customFormat="1">
      <c r="B50" s="10"/>
      <c r="C50" s="10"/>
      <c r="D50" s="10"/>
      <c r="E50" s="10"/>
      <c r="F50" s="10"/>
      <c r="G50" s="10"/>
      <c r="H50" s="10"/>
      <c r="I50" s="10"/>
      <c r="J50" s="10"/>
    </row>
    <row r="51" spans="2:17" s="7" customFormat="1"/>
    <row r="52" spans="2:17" s="7" customFormat="1" ht="18">
      <c r="B52" s="21" t="s">
        <v>70</v>
      </c>
    </row>
    <row r="53" spans="2:17" s="7" customFormat="1" ht="15" customHeight="1">
      <c r="B53" s="80" t="s">
        <v>153</v>
      </c>
      <c r="C53" s="88"/>
      <c r="D53" s="88"/>
      <c r="E53" s="88"/>
      <c r="F53" s="88"/>
      <c r="G53" s="88"/>
    </row>
    <row r="54" spans="2:17" s="7" customFormat="1" ht="18" customHeight="1">
      <c r="B54" s="7" t="s">
        <v>71</v>
      </c>
    </row>
    <row r="55" spans="2:17" s="7" customFormat="1" ht="18" customHeight="1">
      <c r="B55" s="7" t="s">
        <v>72</v>
      </c>
    </row>
    <row r="56" spans="2:17" s="7" customFormat="1" ht="18" customHeight="1">
      <c r="B56" s="7" t="s">
        <v>101</v>
      </c>
    </row>
    <row r="57" spans="2:17" s="7" customFormat="1" ht="18" customHeight="1">
      <c r="B57" s="7" t="s">
        <v>73</v>
      </c>
    </row>
    <row r="58" spans="2:17" s="7" customFormat="1" ht="18" customHeight="1"/>
    <row r="59" spans="2:17" s="7" customFormat="1" ht="18" customHeight="1" thickBot="1">
      <c r="B59" s="121" t="s">
        <v>159</v>
      </c>
      <c r="C59" s="121"/>
      <c r="D59" s="121"/>
      <c r="E59" s="121"/>
      <c r="F59" s="121"/>
      <c r="G59" s="121"/>
      <c r="H59" s="121"/>
      <c r="I59" s="121"/>
      <c r="J59" s="84"/>
    </row>
    <row r="60" spans="2:17" s="7" customFormat="1" ht="18" customHeight="1" thickTop="1">
      <c r="B60" s="10"/>
      <c r="C60" s="10"/>
      <c r="D60" s="10"/>
      <c r="E60" s="10"/>
      <c r="F60" s="10"/>
      <c r="G60" s="10"/>
      <c r="H60" s="10"/>
      <c r="I60" s="18"/>
      <c r="J60" s="10"/>
    </row>
    <row r="61" spans="2:17" s="7" customFormat="1" ht="15.75">
      <c r="B61" s="17" t="s">
        <v>158</v>
      </c>
      <c r="C61" s="17"/>
      <c r="D61" s="17"/>
      <c r="E61" s="17"/>
      <c r="F61" s="17"/>
      <c r="G61" s="17"/>
      <c r="H61" s="17"/>
      <c r="I61" s="41">
        <f>'Compost (14.3.2)'!I30</f>
        <v>51</v>
      </c>
      <c r="J61" s="45" t="s">
        <v>86</v>
      </c>
    </row>
    <row r="62" spans="2:17" s="7" customFormat="1" ht="15.75">
      <c r="B62" s="10"/>
      <c r="C62" s="10"/>
      <c r="D62" s="10"/>
      <c r="E62" s="10"/>
      <c r="F62" s="10"/>
      <c r="G62" s="10"/>
      <c r="H62" s="10"/>
      <c r="I62" s="45"/>
      <c r="J62" s="45"/>
    </row>
    <row r="63" spans="2:17" s="7" customFormat="1" ht="15.75">
      <c r="B63" s="10"/>
      <c r="C63" s="10"/>
      <c r="D63" s="10"/>
      <c r="E63" s="10"/>
      <c r="F63" s="10"/>
      <c r="G63" s="10"/>
      <c r="H63" s="10"/>
      <c r="I63" s="45"/>
      <c r="J63" s="45"/>
    </row>
    <row r="64" spans="2:17" s="7" customFormat="1" ht="18">
      <c r="B64" s="22" t="s">
        <v>75</v>
      </c>
      <c r="C64" s="10"/>
      <c r="D64" s="10"/>
      <c r="E64" s="10"/>
      <c r="F64" s="10"/>
      <c r="G64" s="10"/>
      <c r="H64" s="10"/>
      <c r="I64" s="10"/>
    </row>
    <row r="65" spans="1:293" s="7" customFormat="1" ht="18" customHeight="1">
      <c r="B65" s="10" t="s">
        <v>76</v>
      </c>
      <c r="C65" s="10"/>
      <c r="D65" s="10"/>
      <c r="E65" s="10"/>
      <c r="F65" s="10"/>
      <c r="G65" s="10"/>
      <c r="H65" s="10"/>
      <c r="I65" s="10"/>
    </row>
    <row r="66" spans="1:293" s="7" customFormat="1" ht="18" customHeight="1">
      <c r="B66" s="10" t="s">
        <v>79</v>
      </c>
      <c r="C66" s="10"/>
      <c r="D66" s="10"/>
      <c r="E66" s="10"/>
      <c r="F66" s="10"/>
      <c r="G66" s="10"/>
      <c r="H66" s="10"/>
      <c r="I66" s="10"/>
    </row>
    <row r="67" spans="1:293" s="7" customFormat="1" ht="18" customHeight="1">
      <c r="B67" s="10" t="s">
        <v>77</v>
      </c>
      <c r="C67" s="10"/>
      <c r="D67" s="10"/>
      <c r="E67" s="10"/>
      <c r="F67" s="10"/>
      <c r="G67" s="10"/>
      <c r="H67" s="10"/>
      <c r="I67" s="10"/>
    </row>
    <row r="68" spans="1:293" s="7" customFormat="1" ht="18" customHeight="1">
      <c r="B68" s="10" t="s">
        <v>78</v>
      </c>
      <c r="C68" s="10"/>
      <c r="D68" s="10"/>
      <c r="E68" s="10"/>
      <c r="F68" s="10"/>
      <c r="G68" s="10"/>
      <c r="H68" s="10"/>
      <c r="I68" s="10"/>
    </row>
    <row r="69" spans="1:293" s="7" customFormat="1" ht="18" customHeight="1">
      <c r="B69" s="10"/>
      <c r="C69" s="10"/>
      <c r="D69" s="10"/>
      <c r="E69" s="10"/>
      <c r="F69" s="10"/>
      <c r="G69" s="10"/>
      <c r="H69" s="10"/>
      <c r="I69" s="10"/>
    </row>
    <row r="70" spans="1:293" s="7" customFormat="1" ht="18">
      <c r="A70" s="10"/>
      <c r="B70" s="35" t="s">
        <v>140</v>
      </c>
      <c r="C70" s="17"/>
      <c r="D70" s="17"/>
      <c r="E70" s="17"/>
      <c r="F70" s="78"/>
      <c r="G70" s="17"/>
      <c r="H70" s="79"/>
      <c r="I70" s="79"/>
      <c r="J70" s="61"/>
      <c r="K70" s="61"/>
      <c r="L70" s="61"/>
      <c r="M70" s="61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</row>
    <row r="71" spans="1:293" s="7" customFormat="1">
      <c r="B71" s="10"/>
      <c r="C71" s="10"/>
      <c r="D71" s="10"/>
      <c r="E71" s="10"/>
      <c r="F71" s="10"/>
      <c r="G71" s="10"/>
      <c r="H71" s="10"/>
      <c r="I71" s="10"/>
    </row>
    <row r="72" spans="1:293" s="7" customFormat="1" ht="16.5" thickBot="1">
      <c r="B72" s="115" t="s">
        <v>80</v>
      </c>
      <c r="C72" s="115"/>
      <c r="D72" s="115"/>
      <c r="E72" s="115"/>
      <c r="F72" s="115"/>
      <c r="G72" s="115"/>
      <c r="H72" s="115"/>
      <c r="I72" s="115"/>
    </row>
    <row r="73" spans="1:293" s="7" customFormat="1" ht="15.75" thickTop="1">
      <c r="B73" s="10"/>
      <c r="C73" s="10"/>
      <c r="D73" s="10"/>
      <c r="E73" s="10"/>
      <c r="F73" s="10"/>
      <c r="G73" s="10"/>
      <c r="H73" s="10"/>
      <c r="I73" s="10"/>
      <c r="K73" s="122" t="str">
        <f>IF(I78&gt;32,"For 14.3.3 Irrigation Water 
It appears your response falls outside of historical responses. It could be appropriate but please confirm your calculation/response. 
Average response = 10.2 Lbs N/ac
90% of responses are &lt; 32 Lbs N/ac","")</f>
        <v/>
      </c>
      <c r="L73" s="122"/>
      <c r="M73" s="122"/>
      <c r="N73" s="122"/>
      <c r="O73" s="122"/>
      <c r="P73" s="122"/>
      <c r="Q73" s="122"/>
      <c r="R73" s="122"/>
    </row>
    <row r="74" spans="1:293" s="7" customFormat="1" ht="15.75">
      <c r="B74" s="17" t="s">
        <v>81</v>
      </c>
      <c r="C74" s="17"/>
      <c r="D74" s="17"/>
      <c r="E74" s="17"/>
      <c r="F74" s="17"/>
      <c r="G74" s="17"/>
      <c r="H74" s="19"/>
      <c r="I74" s="40">
        <v>3</v>
      </c>
      <c r="J74" s="39" t="s">
        <v>108</v>
      </c>
      <c r="K74" s="122"/>
      <c r="L74" s="122"/>
      <c r="M74" s="122"/>
      <c r="N74" s="122"/>
      <c r="O74" s="122"/>
      <c r="P74" s="122"/>
      <c r="Q74" s="122"/>
      <c r="R74" s="122"/>
    </row>
    <row r="75" spans="1:293" s="7" customFormat="1" ht="15.75">
      <c r="B75" s="10"/>
      <c r="C75" s="10"/>
      <c r="D75" s="10"/>
      <c r="E75" s="10"/>
      <c r="F75" s="10"/>
      <c r="G75" s="10"/>
      <c r="H75" s="10"/>
      <c r="I75" s="44"/>
      <c r="J75" s="39"/>
      <c r="K75" s="122"/>
      <c r="L75" s="122"/>
      <c r="M75" s="122"/>
      <c r="N75" s="122"/>
      <c r="O75" s="122"/>
      <c r="P75" s="122"/>
      <c r="Q75" s="122"/>
      <c r="R75" s="122"/>
    </row>
    <row r="76" spans="1:293" s="7" customFormat="1" ht="15.75">
      <c r="B76" s="17" t="s">
        <v>82</v>
      </c>
      <c r="C76" s="17"/>
      <c r="D76" s="17"/>
      <c r="E76" s="17"/>
      <c r="F76" s="17"/>
      <c r="G76" s="17"/>
      <c r="H76" s="19"/>
      <c r="I76" s="52">
        <f>I74*0.62</f>
        <v>1.8599999999999999</v>
      </c>
      <c r="J76" s="39" t="s">
        <v>92</v>
      </c>
      <c r="K76" s="122"/>
      <c r="L76" s="122"/>
      <c r="M76" s="122"/>
      <c r="N76" s="122"/>
      <c r="O76" s="122"/>
      <c r="P76" s="122"/>
      <c r="Q76" s="122"/>
      <c r="R76" s="122"/>
    </row>
    <row r="77" spans="1:293" s="7" customFormat="1" ht="15.75">
      <c r="B77" s="10"/>
      <c r="C77" s="10"/>
      <c r="D77" s="10"/>
      <c r="E77" s="10"/>
      <c r="F77" s="10"/>
      <c r="G77" s="10"/>
      <c r="H77" s="10"/>
      <c r="I77" s="44"/>
      <c r="J77" s="39"/>
      <c r="K77" s="122"/>
      <c r="L77" s="122"/>
      <c r="M77" s="122"/>
      <c r="N77" s="122"/>
      <c r="O77" s="122"/>
      <c r="P77" s="122"/>
      <c r="Q77" s="122"/>
      <c r="R77" s="122"/>
    </row>
    <row r="78" spans="1:293" s="7" customFormat="1" ht="15.75">
      <c r="B78" s="17" t="s">
        <v>83</v>
      </c>
      <c r="C78" s="17"/>
      <c r="D78" s="17"/>
      <c r="E78" s="17"/>
      <c r="F78" s="17"/>
      <c r="G78" s="17"/>
      <c r="H78" s="19"/>
      <c r="I78" s="41">
        <f>I76*('Water Use Report (14.2)'!F8+'Water Use Report (14.2)'!F13)</f>
        <v>2.6748299069206478</v>
      </c>
      <c r="J78" s="45" t="s">
        <v>86</v>
      </c>
      <c r="K78" s="122"/>
      <c r="L78" s="122"/>
      <c r="M78" s="122"/>
      <c r="N78" s="122"/>
      <c r="O78" s="122"/>
      <c r="P78" s="122"/>
      <c r="Q78" s="122"/>
      <c r="R78" s="122"/>
    </row>
    <row r="79" spans="1:293" s="7" customFormat="1">
      <c r="B79" s="10"/>
      <c r="C79" s="10"/>
      <c r="D79" s="10"/>
      <c r="E79" s="10"/>
      <c r="F79" s="10"/>
      <c r="G79" s="10"/>
      <c r="H79" s="10"/>
      <c r="I79" s="10"/>
    </row>
    <row r="80" spans="1:293" s="7" customFormat="1" ht="15.75">
      <c r="B80" s="10"/>
      <c r="C80" s="123" t="s">
        <v>100</v>
      </c>
      <c r="D80" s="123"/>
      <c r="E80" s="123"/>
      <c r="F80" s="123"/>
      <c r="G80" s="123"/>
      <c r="H80" s="10"/>
      <c r="I80" s="10"/>
      <c r="K80" s="39" t="str">
        <f>IF(AND(I78&gt;0,I89&gt;0),"Please choose one method or the other.","")</f>
        <v>Please choose one method or the other.</v>
      </c>
    </row>
    <row r="81" spans="2:18" s="7" customFormat="1">
      <c r="B81" s="10"/>
      <c r="C81" s="123"/>
      <c r="D81" s="123"/>
      <c r="E81" s="123"/>
      <c r="F81" s="123"/>
      <c r="G81" s="123"/>
      <c r="H81" s="10"/>
      <c r="I81" s="10"/>
    </row>
    <row r="82" spans="2:18" s="7" customFormat="1">
      <c r="B82" s="10"/>
      <c r="C82" s="123"/>
      <c r="D82" s="123"/>
      <c r="E82" s="123"/>
      <c r="F82" s="123"/>
      <c r="G82" s="123"/>
      <c r="H82" s="10"/>
      <c r="I82" s="10"/>
    </row>
    <row r="83" spans="2:18" s="7" customFormat="1" ht="16.5" thickBot="1">
      <c r="B83" s="115" t="s">
        <v>84</v>
      </c>
      <c r="C83" s="115"/>
      <c r="D83" s="115"/>
      <c r="E83" s="115"/>
      <c r="F83" s="115"/>
      <c r="G83" s="115"/>
      <c r="H83" s="115"/>
      <c r="I83" s="115"/>
    </row>
    <row r="84" spans="2:18" s="7" customFormat="1" ht="16.149999999999999" customHeight="1" thickTop="1">
      <c r="B84" s="10"/>
      <c r="C84" s="10"/>
      <c r="D84" s="10"/>
      <c r="E84" s="10"/>
      <c r="F84" s="10"/>
      <c r="G84" s="10"/>
      <c r="H84" s="10"/>
      <c r="I84" s="10"/>
      <c r="K84" s="122" t="str">
        <f>IF(I89&gt;32,"For 14.3.3 Irrigation Water 
It appears your response falls outside of historical responses. It could be appropriate but please confirm your calculation/response. 
Average response = 10.2 Lbs N/ac
90% of responses are &lt; 32 Lbs N/ac","")</f>
        <v/>
      </c>
      <c r="L84" s="122"/>
      <c r="M84" s="122"/>
      <c r="N84" s="122"/>
      <c r="O84" s="122"/>
      <c r="P84" s="122"/>
      <c r="Q84" s="122"/>
      <c r="R84" s="122"/>
    </row>
    <row r="85" spans="2:18" s="7" customFormat="1" ht="15.75">
      <c r="B85" s="17" t="s">
        <v>85</v>
      </c>
      <c r="C85" s="17"/>
      <c r="D85" s="17"/>
      <c r="E85" s="17"/>
      <c r="F85" s="17"/>
      <c r="G85" s="17"/>
      <c r="H85" s="19"/>
      <c r="I85" s="40">
        <v>1.5</v>
      </c>
      <c r="J85" s="39" t="s">
        <v>109</v>
      </c>
      <c r="K85" s="122"/>
      <c r="L85" s="122"/>
      <c r="M85" s="122"/>
      <c r="N85" s="122"/>
      <c r="O85" s="122"/>
      <c r="P85" s="122"/>
      <c r="Q85" s="122"/>
      <c r="R85" s="122"/>
    </row>
    <row r="86" spans="2:18" s="7" customFormat="1" ht="15.75">
      <c r="B86" s="10"/>
      <c r="C86" s="10"/>
      <c r="D86" s="10"/>
      <c r="E86" s="10"/>
      <c r="F86" s="10"/>
      <c r="G86" s="10"/>
      <c r="H86" s="10"/>
      <c r="I86" s="44"/>
      <c r="J86" s="39"/>
      <c r="K86" s="122"/>
      <c r="L86" s="122"/>
      <c r="M86" s="122"/>
      <c r="N86" s="122"/>
      <c r="O86" s="122"/>
      <c r="P86" s="122"/>
      <c r="Q86" s="122"/>
      <c r="R86" s="122"/>
    </row>
    <row r="87" spans="2:18" s="7" customFormat="1" ht="15.75">
      <c r="B87" s="17" t="s">
        <v>82</v>
      </c>
      <c r="C87" s="17"/>
      <c r="D87" s="17"/>
      <c r="E87" s="17"/>
      <c r="F87" s="17"/>
      <c r="G87" s="17"/>
      <c r="H87" s="19"/>
      <c r="I87" s="52">
        <f>I85*2.74</f>
        <v>4.1100000000000003</v>
      </c>
      <c r="J87" s="39" t="s">
        <v>92</v>
      </c>
      <c r="K87" s="122"/>
      <c r="L87" s="122"/>
      <c r="M87" s="122"/>
      <c r="N87" s="122"/>
      <c r="O87" s="122"/>
      <c r="P87" s="122"/>
      <c r="Q87" s="122"/>
      <c r="R87" s="122"/>
    </row>
    <row r="88" spans="2:18" s="7" customFormat="1" ht="15.75">
      <c r="B88" s="10"/>
      <c r="C88" s="10"/>
      <c r="D88" s="10"/>
      <c r="E88" s="10"/>
      <c r="F88" s="10"/>
      <c r="G88" s="10"/>
      <c r="H88" s="10"/>
      <c r="I88" s="44"/>
      <c r="J88" s="39"/>
      <c r="K88" s="122"/>
      <c r="L88" s="122"/>
      <c r="M88" s="122"/>
      <c r="N88" s="122"/>
      <c r="O88" s="122"/>
      <c r="P88" s="122"/>
      <c r="Q88" s="122"/>
      <c r="R88" s="122"/>
    </row>
    <row r="89" spans="2:18" s="7" customFormat="1" ht="15.75">
      <c r="B89" s="17" t="s">
        <v>83</v>
      </c>
      <c r="C89" s="17"/>
      <c r="D89" s="17"/>
      <c r="E89" s="17"/>
      <c r="F89" s="17"/>
      <c r="G89" s="17"/>
      <c r="H89" s="19"/>
      <c r="I89" s="41">
        <f>I87*('Water Use Report (14.2)'!F8+'Water Use Report (14.2)'!F13)</f>
        <v>5.9105112459375615</v>
      </c>
      <c r="J89" s="45" t="s">
        <v>86</v>
      </c>
      <c r="K89" s="122"/>
      <c r="L89" s="122"/>
      <c r="M89" s="122"/>
      <c r="N89" s="122"/>
      <c r="O89" s="122"/>
      <c r="P89" s="122"/>
      <c r="Q89" s="122"/>
      <c r="R89" s="122"/>
    </row>
    <row r="90" spans="2:18">
      <c r="B90" s="3"/>
      <c r="C90" s="3"/>
      <c r="D90" s="3"/>
      <c r="E90" s="3"/>
      <c r="F90" s="3"/>
      <c r="G90" s="3"/>
      <c r="H90" s="3"/>
      <c r="I90" s="3"/>
    </row>
    <row r="91" spans="2:18">
      <c r="B91" s="3"/>
      <c r="C91" s="3"/>
      <c r="D91" s="3"/>
      <c r="E91" s="3"/>
      <c r="F91" s="3"/>
      <c r="G91" s="3"/>
      <c r="H91" s="3"/>
      <c r="I91" s="3"/>
    </row>
  </sheetData>
  <sheetProtection selectLockedCells="1"/>
  <mergeCells count="12">
    <mergeCell ref="B27:I27"/>
    <mergeCell ref="B11:I11"/>
    <mergeCell ref="B72:I72"/>
    <mergeCell ref="B59:I59"/>
    <mergeCell ref="K84:R89"/>
    <mergeCell ref="K36:Q49"/>
    <mergeCell ref="C80:G82"/>
    <mergeCell ref="K73:R78"/>
    <mergeCell ref="B83:I83"/>
    <mergeCell ref="B47:I47"/>
    <mergeCell ref="B19:I19"/>
    <mergeCell ref="B37:I37"/>
  </mergeCells>
  <pageMargins left="0.7" right="0.7" top="0.75" bottom="0.75" header="0.3" footer="0.3"/>
  <pageSetup scale="86" orientation="portrait" horizontalDpi="4294967294" verticalDpi="4294967294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2:D9"/>
  <sheetViews>
    <sheetView workbookViewId="0">
      <selection activeCell="C10" sqref="C10"/>
    </sheetView>
  </sheetViews>
  <sheetFormatPr defaultRowHeight="15"/>
  <sheetData>
    <row r="2" spans="3:4" ht="46.5">
      <c r="C2" s="107" t="s">
        <v>180</v>
      </c>
    </row>
    <row r="4" spans="3:4" ht="42">
      <c r="C4" s="106" t="s">
        <v>177</v>
      </c>
    </row>
    <row r="5" spans="3:4">
      <c r="C5" s="108" t="s">
        <v>182</v>
      </c>
    </row>
    <row r="6" spans="3:4" ht="42">
      <c r="C6" s="106" t="s">
        <v>178</v>
      </c>
    </row>
    <row r="7" spans="3:4" ht="24.75" customHeight="1">
      <c r="C7" s="106"/>
      <c r="D7" s="109" t="s">
        <v>181</v>
      </c>
    </row>
    <row r="8" spans="3:4" ht="42">
      <c r="C8" s="106" t="s">
        <v>179</v>
      </c>
    </row>
    <row r="9" spans="3:4">
      <c r="C9" s="108" t="s">
        <v>183</v>
      </c>
    </row>
  </sheetData>
  <sheetProtection selectLockedCells="1"/>
  <hyperlinks>
    <hyperlink ref="C5" r:id="rId1" location="ch-14" xr:uid="{00000000-0004-0000-0800-000000000000}"/>
    <hyperlink ref="D7" r:id="rId2" xr:uid="{00000000-0004-0000-0800-000001000000}"/>
    <hyperlink ref="C9" r:id="rId3" xr:uid="{00000000-0004-0000-0800-000002000000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What you need</vt:lpstr>
      <vt:lpstr>Instructions</vt:lpstr>
      <vt:lpstr>General Parameters (14.1)</vt:lpstr>
      <vt:lpstr>Irrigation (14.2.1)</vt:lpstr>
      <vt:lpstr>Frost Water (14.2.2)</vt:lpstr>
      <vt:lpstr>Water Use Report (14.2)</vt:lpstr>
      <vt:lpstr>Compost (14.3.2)</vt:lpstr>
      <vt:lpstr>Nitrogen Use Report (14.3)</vt:lpstr>
      <vt:lpstr>Resources</vt:lpstr>
      <vt:lpstr>Sheet1</vt:lpstr>
      <vt:lpstr>'Nitrogen Use Report (14.3)'!Print_Area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</dc:creator>
  <cp:lastModifiedBy>Beth</cp:lastModifiedBy>
  <dcterms:created xsi:type="dcterms:W3CDTF">2018-03-01T17:09:02Z</dcterms:created>
  <dcterms:modified xsi:type="dcterms:W3CDTF">2020-12-10T22:21:20Z</dcterms:modified>
</cp:coreProperties>
</file>